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 activeTab="1"/>
  </bookViews>
  <sheets>
    <sheet name="Financial Instr &amp; Deposits" sheetId="1" r:id="rId1"/>
    <sheet name="Loans" sheetId="2" r:id="rId2"/>
  </sheets>
  <definedNames>
    <definedName name="_xlnm.Print_Area" localSheetId="0">'Financial Instr &amp; Deposits'!$A$1:$G$81</definedName>
    <definedName name="_xlnm.Print_Area" localSheetId="1">Loans!$A$1:$G$75</definedName>
  </definedNames>
  <calcPr calcId="145621"/>
</workbook>
</file>

<file path=xl/calcChain.xml><?xml version="1.0" encoding="utf-8"?>
<calcChain xmlns="http://schemas.openxmlformats.org/spreadsheetml/2006/main">
  <c r="C61" i="2" l="1"/>
  <c r="C40" i="2" l="1"/>
  <c r="C32" i="2"/>
  <c r="C42" i="2" l="1"/>
  <c r="C34" i="2"/>
  <c r="C41" i="2"/>
  <c r="C38" i="2"/>
  <c r="C30" i="2"/>
  <c r="C46" i="1" l="1"/>
  <c r="C76" i="1"/>
  <c r="C75" i="1"/>
  <c r="C74" i="1"/>
  <c r="C73" i="1"/>
  <c r="C69" i="1"/>
  <c r="C68" i="1"/>
  <c r="C67" i="1"/>
  <c r="C66" i="1"/>
  <c r="C29" i="1"/>
  <c r="C26" i="1"/>
  <c r="C19" i="1"/>
  <c r="E13" i="1"/>
  <c r="C13" i="1"/>
  <c r="C12" i="1"/>
  <c r="C10" i="1"/>
  <c r="C9" i="1"/>
  <c r="C8" i="1"/>
  <c r="C33" i="2" l="1"/>
  <c r="C56" i="1" l="1"/>
  <c r="D72" i="2" l="1"/>
  <c r="C43" i="2"/>
  <c r="C35" i="2"/>
  <c r="D8" i="2" l="1"/>
  <c r="D13" i="2"/>
  <c r="D7" i="2"/>
  <c r="D22" i="2"/>
  <c r="J18" i="2"/>
  <c r="D49" i="2" l="1"/>
  <c r="D45" i="2"/>
  <c r="D14" i="2"/>
  <c r="D24" i="2"/>
  <c r="D26" i="2"/>
  <c r="D61" i="2"/>
  <c r="C66" i="2"/>
  <c r="G61" i="2"/>
  <c r="F63" i="2"/>
  <c r="D50" i="2" l="1"/>
  <c r="D68" i="2"/>
  <c r="D58" i="2"/>
  <c r="C71" i="2" l="1"/>
  <c r="C72" i="2"/>
  <c r="F67" i="2" s="1"/>
  <c r="D66" i="2"/>
  <c r="D63" i="2"/>
  <c r="J21" i="2" l="1"/>
  <c r="J23" i="2"/>
  <c r="J27" i="2"/>
  <c r="I27" i="2"/>
  <c r="I26" i="2"/>
  <c r="I25" i="2"/>
  <c r="J17" i="2"/>
  <c r="D42" i="2" l="1"/>
  <c r="D41" i="2"/>
  <c r="D40" i="2"/>
  <c r="D38" i="2"/>
  <c r="D34" i="2"/>
  <c r="D33" i="2"/>
  <c r="D32" i="2"/>
  <c r="D30" i="2"/>
  <c r="F24" i="2"/>
  <c r="F14" i="2"/>
  <c r="F26" i="2" l="1"/>
  <c r="D43" i="2" l="1"/>
  <c r="N14" i="2" l="1"/>
  <c r="J9" i="2"/>
  <c r="J10" i="2"/>
  <c r="J11" i="2"/>
  <c r="J7" i="2"/>
  <c r="I13" i="2"/>
  <c r="J13" i="2" s="1"/>
  <c r="I12" i="2"/>
  <c r="J12" i="2" s="1"/>
  <c r="I7" i="2"/>
  <c r="I8" i="2"/>
  <c r="I14" i="2" s="1"/>
  <c r="D35" i="2"/>
  <c r="C24" i="2"/>
  <c r="G24" i="2" s="1"/>
  <c r="C14" i="2"/>
  <c r="D76" i="1"/>
  <c r="D75" i="1"/>
  <c r="D74" i="1"/>
  <c r="D73" i="1"/>
  <c r="D66" i="1"/>
  <c r="D69" i="1"/>
  <c r="D68" i="1"/>
  <c r="D67" i="1"/>
  <c r="C53" i="1"/>
  <c r="F53" i="1" s="1"/>
  <c r="F46" i="1"/>
  <c r="C40" i="1"/>
  <c r="F42" i="1"/>
  <c r="F38" i="1"/>
  <c r="E41" i="1"/>
  <c r="F41" i="1" s="1"/>
  <c r="E40" i="1"/>
  <c r="F40" i="1" s="1"/>
  <c r="C39" i="1"/>
  <c r="F39" i="1" s="1"/>
  <c r="C37" i="1"/>
  <c r="F37" i="1" s="1"/>
  <c r="C36" i="1"/>
  <c r="F36" i="1" s="1"/>
  <c r="C35" i="1"/>
  <c r="F35" i="1" s="1"/>
  <c r="E14" i="1"/>
  <c r="F14" i="1" s="1"/>
  <c r="F12" i="1"/>
  <c r="D77" i="1"/>
  <c r="F19" i="1"/>
  <c r="F15" i="1"/>
  <c r="F11" i="1"/>
  <c r="F10" i="1"/>
  <c r="F9" i="1"/>
  <c r="F8" i="1"/>
  <c r="E30" i="1"/>
  <c r="F29" i="1"/>
  <c r="F28" i="1"/>
  <c r="F27" i="1"/>
  <c r="F26" i="1"/>
  <c r="F25" i="1"/>
  <c r="F24" i="1"/>
  <c r="F23" i="1"/>
  <c r="F22" i="1"/>
  <c r="C21" i="1"/>
  <c r="F21" i="1" s="1"/>
  <c r="F20" i="1"/>
  <c r="D16" i="1"/>
  <c r="F47" i="1"/>
  <c r="F49" i="1"/>
  <c r="F50" i="1"/>
  <c r="F51" i="1"/>
  <c r="F52" i="1"/>
  <c r="F54" i="1"/>
  <c r="F55" i="1"/>
  <c r="F56" i="1"/>
  <c r="E57" i="1"/>
  <c r="C48" i="1"/>
  <c r="F48" i="1" s="1"/>
  <c r="D43" i="1"/>
  <c r="G14" i="2" l="1"/>
  <c r="G26" i="2" s="1"/>
  <c r="C26" i="2"/>
  <c r="C45" i="2"/>
  <c r="C49" i="2" s="1"/>
  <c r="F29" i="2"/>
  <c r="J8" i="2"/>
  <c r="J14" i="2" s="1"/>
  <c r="D53" i="2"/>
  <c r="C16" i="1"/>
  <c r="E43" i="1"/>
  <c r="D70" i="1"/>
  <c r="D79" i="1" s="1"/>
  <c r="C77" i="1"/>
  <c r="C70" i="1"/>
  <c r="E16" i="1"/>
  <c r="F13" i="1"/>
  <c r="F16" i="1" s="1"/>
  <c r="C30" i="1"/>
  <c r="F30" i="1"/>
  <c r="C57" i="1"/>
  <c r="F43" i="1"/>
  <c r="C43" i="1"/>
  <c r="F57" i="1"/>
  <c r="C79" i="1" l="1"/>
  <c r="C53" i="2"/>
</calcChain>
</file>

<file path=xl/sharedStrings.xml><?xml version="1.0" encoding="utf-8"?>
<sst xmlns="http://schemas.openxmlformats.org/spreadsheetml/2006/main" count="159" uniqueCount="92">
  <si>
    <t>Assets</t>
  </si>
  <si>
    <t>Total                                   (LKR.)</t>
  </si>
  <si>
    <t>Cash and cash equivalent</t>
  </si>
  <si>
    <t>Balances with central bank</t>
  </si>
  <si>
    <t>Placements with banks</t>
  </si>
  <si>
    <t>Derivative financial instruments</t>
  </si>
  <si>
    <t>Loans and advances</t>
  </si>
  <si>
    <t>Debt instruments</t>
  </si>
  <si>
    <t>Equity instruments</t>
  </si>
  <si>
    <t>Total financial assets</t>
  </si>
  <si>
    <t>Liabilities</t>
  </si>
  <si>
    <t>Financial liabilities at amortized cost    (LKR.)</t>
  </si>
  <si>
    <t>Financial liabilities recognized through profit or loss             (LKR.)</t>
  </si>
  <si>
    <t>Due to banks</t>
  </si>
  <si>
    <t>Derivative fianncial instruments</t>
  </si>
  <si>
    <t>Financial liabilities</t>
  </si>
  <si>
    <t xml:space="preserve">     Due to depositors</t>
  </si>
  <si>
    <t xml:space="preserve">     Due to debt security holders</t>
  </si>
  <si>
    <t xml:space="preserve">     Due to other borrowers</t>
  </si>
  <si>
    <t>Financial liabilities at amortised Cost</t>
  </si>
  <si>
    <t xml:space="preserve">    Due to depositors</t>
  </si>
  <si>
    <t xml:space="preserve">    Due to debt security holders</t>
  </si>
  <si>
    <t xml:space="preserve">    Due to other borrowers</t>
  </si>
  <si>
    <t>Total financial liabilities</t>
  </si>
  <si>
    <t xml:space="preserve">Others </t>
  </si>
  <si>
    <t>By Product- Domestic Currency</t>
  </si>
  <si>
    <t>Demand deposits (Current Accounts)</t>
  </si>
  <si>
    <t>Savings deposits</t>
  </si>
  <si>
    <t>Term deposits</t>
  </si>
  <si>
    <t>Other deposits</t>
  </si>
  <si>
    <t>By Product- Foreign Currency</t>
  </si>
  <si>
    <t>Total Deposits</t>
  </si>
  <si>
    <t>31.03.2020</t>
  </si>
  <si>
    <t xml:space="preserve">     Overdraft</t>
  </si>
  <si>
    <t xml:space="preserve">     Trade finance</t>
  </si>
  <si>
    <t xml:space="preserve">     Lease rental receivable</t>
  </si>
  <si>
    <t xml:space="preserve">     Credit cards</t>
  </si>
  <si>
    <t xml:space="preserve">     Staff loans</t>
  </si>
  <si>
    <t xml:space="preserve">     Term loans</t>
  </si>
  <si>
    <t xml:space="preserve">     Pawning</t>
  </si>
  <si>
    <t>By product - Domestic Currency</t>
  </si>
  <si>
    <t>By product - Foreign Currency</t>
  </si>
  <si>
    <t>Guarantees</t>
  </si>
  <si>
    <t>Bonds</t>
  </si>
  <si>
    <t>Other Commitments</t>
  </si>
  <si>
    <t>Other Contingencies</t>
  </si>
  <si>
    <t>Sub Total</t>
  </si>
  <si>
    <t>Total</t>
  </si>
  <si>
    <t>Less: Accumulated impairment under stage 1</t>
  </si>
  <si>
    <t xml:space="preserve">           Accumulated impairment under stage 2</t>
  </si>
  <si>
    <t xml:space="preserve">           Accumulated impairment under stage 3</t>
  </si>
  <si>
    <t>Under Stage 1</t>
  </si>
  <si>
    <t xml:space="preserve">          Charge/(Write back) to income statement </t>
  </si>
  <si>
    <t xml:space="preserve">          Write-off during the year</t>
  </si>
  <si>
    <t xml:space="preserve">          Other movements </t>
  </si>
  <si>
    <t xml:space="preserve">Under Stage 2 </t>
  </si>
  <si>
    <t>Under Stage 3</t>
  </si>
  <si>
    <t xml:space="preserve">Total impairment </t>
  </si>
  <si>
    <t>3.1 Product-wise  Analysis - Gross loans &amp; advances</t>
  </si>
  <si>
    <t>3.2 Product wise - Commitments and Contingencies</t>
  </si>
  <si>
    <t xml:space="preserve">3.4 Movement of impairment during the period </t>
  </si>
  <si>
    <t xml:space="preserve">          Closing balance</t>
  </si>
  <si>
    <t xml:space="preserve">          Closing balance </t>
  </si>
  <si>
    <t>1.   Analysis of financial analysis of finacial instrument by measurement basis</t>
  </si>
  <si>
    <t>State Bank of India</t>
  </si>
  <si>
    <t>2.  Analysis of Deposits</t>
  </si>
  <si>
    <t>Bank as at 31-Mar-2020    (In Rupees Million)</t>
  </si>
  <si>
    <t>Financial assets at amortized cost    (LKR)</t>
  </si>
  <si>
    <t>Financial liabilities at amortized cost    (LKR)</t>
  </si>
  <si>
    <t>Financial liabilities recognized through profit or loss             (LKR)</t>
  </si>
  <si>
    <t xml:space="preserve">Net value of loans and advances, 
commitments and contingencies </t>
  </si>
  <si>
    <t>Gross loans and advances, 
commitments and contingencies</t>
  </si>
  <si>
    <t>3. Analysis of Loans &amp; Advances, Commitments, 
Contingencies and Impairment</t>
  </si>
  <si>
    <t>3.3 Stage-wise impairment on loans &amp; advances,
 commitments and contingencies</t>
  </si>
  <si>
    <t>Undrawn Credit Lines</t>
  </si>
  <si>
    <t>LKR + USD (As at 31.03.2020)</t>
  </si>
  <si>
    <t>Difference</t>
  </si>
  <si>
    <t>Cross check</t>
  </si>
  <si>
    <t>LKR</t>
  </si>
  <si>
    <t>USD</t>
  </si>
  <si>
    <t>LKR - 30.06.2020</t>
  </si>
  <si>
    <t>USD - 30.06.2020</t>
  </si>
  <si>
    <t xml:space="preserve">          Short term</t>
  </si>
  <si>
    <t xml:space="preserve">          Long term</t>
  </si>
  <si>
    <t>Financial assets recognized through other comprehensive income (LKR)</t>
  </si>
  <si>
    <t>Financial assets recognized through profit or loss (LKR)</t>
  </si>
  <si>
    <t>Financial assets at amortized cost (LKR)</t>
  </si>
  <si>
    <t>Sundry creditors and accrued expenses</t>
  </si>
  <si>
    <t>Bank as at 31-Dec-2020    (In Rupees Million)</t>
  </si>
  <si>
    <t>Additional Disclosures for the quarter ended 31.12.2020</t>
  </si>
  <si>
    <t>Bank as at 31-Dec-2020 (In Rupees Million)</t>
  </si>
  <si>
    <t>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</si>
</sst>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Garamond"/>
      <family val="1"/>
    </font>
    <font>
      <sz val="12"/>
      <name val="Garamond"/>
      <family val="1"/>
    </font>
    <font>
      <b/>
      <u/>
      <sz val="12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2"/>
      <color rgb="FF000000"/>
      <name val="Garamond"/>
      <family val="1"/>
    </font>
    <font>
      <b/>
      <i/>
      <sz val="12"/>
      <color rgb="FF000000"/>
      <name val="Garamond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right" wrapText="1"/>
    </xf>
    <xf numFmtId="43" fontId="3" fillId="0" borderId="0" xfId="1" applyFont="1" applyFill="1" applyBorder="1" applyAlignment="1">
      <alignment vertical="top"/>
    </xf>
    <xf numFmtId="0" fontId="3" fillId="0" borderId="0" xfId="0" applyFont="1"/>
    <xf numFmtId="164" fontId="2" fillId="0" borderId="0" xfId="1" applyNumberFormat="1" applyFont="1" applyFill="1" applyBorder="1" applyAlignment="1">
      <alignment vertical="top"/>
    </xf>
    <xf numFmtId="0" fontId="2" fillId="0" borderId="3" xfId="0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left"/>
    </xf>
    <xf numFmtId="164" fontId="2" fillId="0" borderId="9" xfId="1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vertical="top"/>
    </xf>
    <xf numFmtId="164" fontId="3" fillId="0" borderId="11" xfId="1" applyNumberFormat="1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4" fillId="0" borderId="18" xfId="0" applyFont="1" applyFill="1" applyBorder="1" applyAlignment="1">
      <alignment horizontal="left"/>
    </xf>
    <xf numFmtId="164" fontId="2" fillId="0" borderId="19" xfId="1" applyNumberFormat="1" applyFont="1" applyFill="1" applyBorder="1" applyAlignment="1">
      <alignment horizontal="right" wrapText="1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43" fontId="6" fillId="0" borderId="4" xfId="1" applyFont="1" applyBorder="1"/>
    <xf numFmtId="0" fontId="2" fillId="0" borderId="0" xfId="0" applyFont="1" applyAlignment="1"/>
    <xf numFmtId="164" fontId="2" fillId="0" borderId="10" xfId="1" applyNumberFormat="1" applyFont="1" applyBorder="1" applyAlignment="1">
      <alignment horizontal="left"/>
    </xf>
    <xf numFmtId="43" fontId="5" fillId="0" borderId="0" xfId="1" applyFont="1" applyBorder="1"/>
    <xf numFmtId="0" fontId="5" fillId="0" borderId="11" xfId="0" applyFont="1" applyBorder="1"/>
    <xf numFmtId="0" fontId="5" fillId="0" borderId="10" xfId="0" applyFont="1" applyBorder="1"/>
    <xf numFmtId="43" fontId="6" fillId="0" borderId="0" xfId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7" fillId="0" borderId="10" xfId="1" applyNumberFormat="1" applyFont="1" applyBorder="1"/>
    <xf numFmtId="164" fontId="5" fillId="0" borderId="10" xfId="1" applyNumberFormat="1" applyFont="1" applyBorder="1"/>
    <xf numFmtId="164" fontId="8" fillId="0" borderId="10" xfId="1" applyNumberFormat="1" applyFont="1" applyBorder="1"/>
    <xf numFmtId="43" fontId="6" fillId="0" borderId="23" xfId="1" applyFont="1" applyBorder="1"/>
    <xf numFmtId="0" fontId="6" fillId="0" borderId="10" xfId="0" applyFont="1" applyBorder="1"/>
    <xf numFmtId="0" fontId="5" fillId="0" borderId="20" xfId="0" applyFont="1" applyBorder="1"/>
    <xf numFmtId="43" fontId="5" fillId="0" borderId="21" xfId="1" applyFont="1" applyBorder="1"/>
    <xf numFmtId="0" fontId="5" fillId="0" borderId="22" xfId="0" applyFont="1" applyBorder="1"/>
    <xf numFmtId="43" fontId="3" fillId="0" borderId="11" xfId="1" applyFont="1" applyFill="1" applyBorder="1" applyAlignment="1">
      <alignment vertical="top"/>
    </xf>
    <xf numFmtId="43" fontId="2" fillId="0" borderId="13" xfId="1" applyFont="1" applyFill="1" applyBorder="1" applyAlignment="1">
      <alignment vertical="top"/>
    </xf>
    <xf numFmtId="43" fontId="2" fillId="0" borderId="14" xfId="1" applyFont="1" applyFill="1" applyBorder="1" applyAlignment="1">
      <alignment vertical="top"/>
    </xf>
    <xf numFmtId="43" fontId="2" fillId="0" borderId="1" xfId="1" applyFont="1" applyFill="1" applyBorder="1" applyAlignment="1">
      <alignment vertical="top"/>
    </xf>
    <xf numFmtId="43" fontId="2" fillId="0" borderId="9" xfId="1" applyFont="1" applyFill="1" applyBorder="1" applyAlignment="1">
      <alignment vertical="top"/>
    </xf>
    <xf numFmtId="43" fontId="3" fillId="0" borderId="4" xfId="1" applyFont="1" applyFill="1" applyBorder="1" applyAlignment="1">
      <alignment vertical="top"/>
    </xf>
    <xf numFmtId="43" fontId="5" fillId="0" borderId="11" xfId="1" applyFont="1" applyBorder="1"/>
    <xf numFmtId="164" fontId="5" fillId="0" borderId="11" xfId="1" applyNumberFormat="1" applyFont="1" applyBorder="1"/>
    <xf numFmtId="0" fontId="2" fillId="0" borderId="10" xfId="0" applyFont="1" applyFill="1" applyBorder="1" applyAlignment="1">
      <alignment vertical="top"/>
    </xf>
    <xf numFmtId="164" fontId="2" fillId="0" borderId="11" xfId="1" applyNumberFormat="1" applyFont="1" applyFill="1" applyBorder="1" applyAlignment="1">
      <alignment vertical="top"/>
    </xf>
    <xf numFmtId="43" fontId="3" fillId="0" borderId="23" xfId="1" applyFont="1" applyFill="1" applyBorder="1" applyAlignment="1">
      <alignment vertical="top"/>
    </xf>
    <xf numFmtId="43" fontId="2" fillId="0" borderId="0" xfId="1" applyFont="1" applyFill="1" applyBorder="1" applyAlignment="1">
      <alignment vertical="top"/>
    </xf>
    <xf numFmtId="43" fontId="3" fillId="0" borderId="2" xfId="1" applyFont="1" applyFill="1" applyBorder="1" applyAlignment="1">
      <alignment vertical="top"/>
    </xf>
    <xf numFmtId="43" fontId="2" fillId="0" borderId="24" xfId="1" applyFont="1" applyFill="1" applyBorder="1" applyAlignment="1">
      <alignment vertical="top"/>
    </xf>
    <xf numFmtId="0" fontId="3" fillId="0" borderId="0" xfId="0" applyFont="1" applyFill="1"/>
    <xf numFmtId="164" fontId="3" fillId="0" borderId="0" xfId="1" applyNumberFormat="1" applyFont="1" applyFill="1"/>
    <xf numFmtId="0" fontId="2" fillId="0" borderId="10" xfId="0" applyFont="1" applyFill="1" applyBorder="1"/>
    <xf numFmtId="43" fontId="3" fillId="0" borderId="0" xfId="1" applyFont="1" applyFill="1" applyBorder="1"/>
    <xf numFmtId="0" fontId="3" fillId="0" borderId="11" xfId="0" applyFont="1" applyFill="1" applyBorder="1"/>
    <xf numFmtId="0" fontId="2" fillId="0" borderId="0" xfId="0" applyFont="1" applyFill="1"/>
    <xf numFmtId="0" fontId="3" fillId="0" borderId="10" xfId="0" applyFont="1" applyFill="1" applyBorder="1"/>
    <xf numFmtId="164" fontId="3" fillId="0" borderId="0" xfId="0" applyNumberFormat="1" applyFont="1" applyFill="1"/>
    <xf numFmtId="43" fontId="3" fillId="0" borderId="0" xfId="0" applyNumberFormat="1" applyFont="1" applyFill="1"/>
    <xf numFmtId="43" fontId="3" fillId="0" borderId="0" xfId="1" applyNumberFormat="1" applyFont="1" applyFill="1"/>
    <xf numFmtId="43" fontId="3" fillId="0" borderId="0" xfId="1" applyFont="1" applyFill="1"/>
    <xf numFmtId="0" fontId="3" fillId="0" borderId="0" xfId="0" applyFont="1" applyFill="1" applyAlignment="1"/>
    <xf numFmtId="0" fontId="3" fillId="0" borderId="0" xfId="0" applyFont="1" applyFill="1" applyAlignment="1">
      <alignment vertical="center" wrapText="1"/>
    </xf>
    <xf numFmtId="43" fontId="3" fillId="0" borderId="0" xfId="0" applyNumberFormat="1" applyFont="1" applyFill="1" applyAlignment="1">
      <alignment vertical="center" wrapText="1"/>
    </xf>
    <xf numFmtId="43" fontId="3" fillId="0" borderId="11" xfId="1" applyFont="1" applyFill="1" applyBorder="1"/>
    <xf numFmtId="43" fontId="2" fillId="0" borderId="2" xfId="1" applyFont="1" applyFill="1" applyBorder="1"/>
    <xf numFmtId="43" fontId="2" fillId="0" borderId="24" xfId="1" applyFont="1" applyFill="1" applyBorder="1"/>
    <xf numFmtId="43" fontId="3" fillId="0" borderId="4" xfId="1" applyFont="1" applyFill="1" applyBorder="1"/>
    <xf numFmtId="43" fontId="3" fillId="0" borderId="23" xfId="1" applyFont="1" applyFill="1" applyBorder="1"/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64" fontId="3" fillId="0" borderId="11" xfId="0" applyNumberFormat="1" applyFont="1" applyFill="1" applyBorder="1"/>
    <xf numFmtId="164" fontId="2" fillId="0" borderId="24" xfId="0" applyNumberFormat="1" applyFont="1" applyFill="1" applyBorder="1"/>
    <xf numFmtId="0" fontId="5" fillId="0" borderId="0" xfId="0" applyFont="1" applyFill="1"/>
    <xf numFmtId="0" fontId="3" fillId="0" borderId="20" xfId="0" applyFont="1" applyFill="1" applyBorder="1"/>
    <xf numFmtId="43" fontId="3" fillId="0" borderId="21" xfId="1" applyFont="1" applyFill="1" applyBorder="1"/>
    <xf numFmtId="0" fontId="3" fillId="0" borderId="22" xfId="0" applyFont="1" applyFill="1" applyBorder="1"/>
    <xf numFmtId="43" fontId="5" fillId="0" borderId="0" xfId="1" applyFont="1" applyFill="1"/>
    <xf numFmtId="164" fontId="5" fillId="0" borderId="0" xfId="1" applyNumberFormat="1" applyFont="1" applyFill="1"/>
    <xf numFmtId="0" fontId="2" fillId="0" borderId="15" xfId="0" applyFont="1" applyFill="1" applyBorder="1"/>
    <xf numFmtId="43" fontId="3" fillId="0" borderId="16" xfId="1" applyFont="1" applyFill="1" applyBorder="1"/>
    <xf numFmtId="0" fontId="3" fillId="0" borderId="17" xfId="0" applyFont="1" applyFill="1" applyBorder="1"/>
    <xf numFmtId="164" fontId="9" fillId="0" borderId="0" xfId="1" applyNumberFormat="1" applyFont="1" applyFill="1"/>
    <xf numFmtId="43" fontId="3" fillId="0" borderId="0" xfId="0" applyNumberFormat="1" applyFont="1"/>
    <xf numFmtId="164" fontId="2" fillId="0" borderId="20" xfId="1" applyNumberFormat="1" applyFont="1" applyBorder="1" applyAlignment="1">
      <alignment horizontal="center"/>
    </xf>
    <xf numFmtId="164" fontId="2" fillId="0" borderId="21" xfId="1" applyNumberFormat="1" applyFont="1" applyBorder="1" applyAlignment="1">
      <alignment horizontal="center"/>
    </xf>
    <xf numFmtId="164" fontId="2" fillId="0" borderId="22" xfId="1" applyNumberFormat="1" applyFont="1" applyBorder="1" applyAlignment="1">
      <alignment horizontal="center"/>
    </xf>
    <xf numFmtId="43" fontId="3" fillId="0" borderId="3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164" fontId="2" fillId="0" borderId="15" xfId="1" applyNumberFormat="1" applyFont="1" applyBorder="1" applyAlignment="1">
      <alignment horizontal="center"/>
    </xf>
    <xf numFmtId="164" fontId="2" fillId="0" borderId="16" xfId="1" applyNumberFormat="1" applyFont="1" applyBorder="1" applyAlignment="1">
      <alignment horizontal="center"/>
    </xf>
    <xf numFmtId="164" fontId="2" fillId="0" borderId="17" xfId="1" applyNumberFormat="1" applyFont="1" applyBorder="1" applyAlignment="1">
      <alignment horizontal="center"/>
    </xf>
    <xf numFmtId="43" fontId="3" fillId="0" borderId="0" xfId="1" applyFont="1" applyFill="1" applyBorder="1" applyAlignment="1">
      <alignment horizontal="center" vertical="center"/>
    </xf>
    <xf numFmtId="15" fontId="2" fillId="0" borderId="5" xfId="0" applyNumberFormat="1" applyFont="1" applyFill="1" applyBorder="1" applyAlignment="1">
      <alignment horizontal="center" vertical="top"/>
    </xf>
    <xf numFmtId="15" fontId="2" fillId="0" borderId="6" xfId="0" applyNumberFormat="1" applyFont="1" applyFill="1" applyBorder="1" applyAlignment="1">
      <alignment horizontal="center" vertical="top"/>
    </xf>
    <xf numFmtId="15" fontId="2" fillId="0" borderId="7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wrapText="1"/>
    </xf>
    <xf numFmtId="43" fontId="3" fillId="0" borderId="2" xfId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164" fontId="2" fillId="0" borderId="20" xfId="1" applyNumberFormat="1" applyFont="1" applyFill="1" applyBorder="1" applyAlignment="1">
      <alignment horizontal="center"/>
    </xf>
    <xf numFmtId="164" fontId="2" fillId="0" borderId="21" xfId="1" applyNumberFormat="1" applyFont="1" applyFill="1" applyBorder="1" applyAlignment="1">
      <alignment horizontal="center"/>
    </xf>
    <xf numFmtId="164" fontId="2" fillId="0" borderId="22" xfId="1" applyNumberFormat="1" applyFont="1" applyFill="1" applyBorder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4"/>
  <sheetViews>
    <sheetView view="pageBreakPreview" topLeftCell="A67" zoomScaleNormal="100" zoomScaleSheetLayoutView="100" workbookViewId="0">
      <selection activeCell="C84" sqref="C84"/>
    </sheetView>
  </sheetViews>
  <sheetFormatPr defaultRowHeight="15.75" x14ac:dyDescent="0.25"/>
  <cols>
    <col min="1" max="1" width="9.140625" style="6"/>
    <col min="2" max="2" width="43.5703125" style="6" customWidth="1"/>
    <col min="3" max="3" width="23.85546875" style="6" customWidth="1"/>
    <col min="4" max="4" width="28" style="6" customWidth="1"/>
    <col min="5" max="5" width="30" style="6" customWidth="1"/>
    <col min="6" max="6" width="11.85546875" style="6" bestFit="1" customWidth="1"/>
    <col min="7" max="16384" width="9.140625" style="6"/>
  </cols>
  <sheetData>
    <row r="2" spans="2:6" x14ac:dyDescent="0.25">
      <c r="B2" s="89" t="s">
        <v>64</v>
      </c>
      <c r="C2" s="89"/>
      <c r="D2" s="89"/>
      <c r="E2" s="89"/>
      <c r="F2" s="89"/>
    </row>
    <row r="3" spans="2:6" s="21" customFormat="1" x14ac:dyDescent="0.25">
      <c r="B3" s="89" t="s">
        <v>89</v>
      </c>
      <c r="C3" s="89"/>
      <c r="D3" s="89"/>
      <c r="E3" s="89"/>
      <c r="F3" s="89"/>
    </row>
    <row r="4" spans="2:6" x14ac:dyDescent="0.25">
      <c r="B4" s="88" t="s">
        <v>63</v>
      </c>
      <c r="C4" s="88"/>
      <c r="D4" s="88"/>
      <c r="E4" s="88"/>
      <c r="F4" s="88"/>
    </row>
    <row r="5" spans="2:6" ht="16.5" thickBot="1" x14ac:dyDescent="0.3">
      <c r="B5" s="1"/>
      <c r="C5" s="2"/>
      <c r="D5" s="2"/>
      <c r="E5" s="3"/>
      <c r="F5" s="3"/>
    </row>
    <row r="6" spans="2:6" x14ac:dyDescent="0.25">
      <c r="B6" s="94" t="s">
        <v>88</v>
      </c>
      <c r="C6" s="95"/>
      <c r="D6" s="95"/>
      <c r="E6" s="95"/>
      <c r="F6" s="96"/>
    </row>
    <row r="7" spans="2:6" ht="63" x14ac:dyDescent="0.25">
      <c r="B7" s="9" t="s">
        <v>0</v>
      </c>
      <c r="C7" s="4" t="s">
        <v>86</v>
      </c>
      <c r="D7" s="4" t="s">
        <v>85</v>
      </c>
      <c r="E7" s="4" t="s">
        <v>84</v>
      </c>
      <c r="F7" s="10" t="s">
        <v>1</v>
      </c>
    </row>
    <row r="8" spans="2:6" x14ac:dyDescent="0.25">
      <c r="B8" s="11" t="s">
        <v>2</v>
      </c>
      <c r="C8" s="5">
        <f>935353320.96/1000000</f>
        <v>935.35332096000002</v>
      </c>
      <c r="D8" s="5">
        <v>0</v>
      </c>
      <c r="E8" s="5">
        <v>0</v>
      </c>
      <c r="F8" s="36">
        <f t="shared" ref="F8:F15" si="0">SUM(C8:E8)</f>
        <v>935.35332096000002</v>
      </c>
    </row>
    <row r="9" spans="2:6" x14ac:dyDescent="0.25">
      <c r="B9" s="11" t="s">
        <v>3</v>
      </c>
      <c r="C9" s="5">
        <f>3824263792.72/1000000</f>
        <v>3824.2637927199999</v>
      </c>
      <c r="D9" s="5">
        <v>0</v>
      </c>
      <c r="E9" s="5">
        <v>0</v>
      </c>
      <c r="F9" s="36">
        <f t="shared" si="0"/>
        <v>3824.2637927199999</v>
      </c>
    </row>
    <row r="10" spans="2:6" x14ac:dyDescent="0.25">
      <c r="B10" s="11" t="s">
        <v>4</v>
      </c>
      <c r="C10" s="5">
        <f>2284963317.41/1000000</f>
        <v>2284.9633174099999</v>
      </c>
      <c r="D10" s="5">
        <v>0</v>
      </c>
      <c r="E10" s="5">
        <v>0</v>
      </c>
      <c r="F10" s="36">
        <f t="shared" si="0"/>
        <v>2284.9633174099999</v>
      </c>
    </row>
    <row r="11" spans="2:6" x14ac:dyDescent="0.25">
      <c r="B11" s="11" t="s">
        <v>5</v>
      </c>
      <c r="C11" s="5">
        <v>0</v>
      </c>
      <c r="D11" s="5">
        <v>0</v>
      </c>
      <c r="E11" s="5">
        <v>0</v>
      </c>
      <c r="F11" s="36">
        <f t="shared" si="0"/>
        <v>0</v>
      </c>
    </row>
    <row r="12" spans="2:6" x14ac:dyDescent="0.25">
      <c r="B12" s="11" t="s">
        <v>6</v>
      </c>
      <c r="C12" s="5">
        <f>21360746034.94/1000000</f>
        <v>21360.746034939999</v>
      </c>
      <c r="D12" s="5">
        <v>0</v>
      </c>
      <c r="E12" s="5">
        <v>0</v>
      </c>
      <c r="F12" s="36">
        <f t="shared" si="0"/>
        <v>21360.746034939999</v>
      </c>
    </row>
    <row r="13" spans="2:6" x14ac:dyDescent="0.25">
      <c r="B13" s="11" t="s">
        <v>7</v>
      </c>
      <c r="C13" s="5">
        <f>4097968322.82655/1000000</f>
        <v>4097.9683228265503</v>
      </c>
      <c r="D13" s="5">
        <v>0</v>
      </c>
      <c r="E13" s="5">
        <f>(293206511.54/1000000)-E14</f>
        <v>292.67651154000004</v>
      </c>
      <c r="F13" s="36">
        <f t="shared" si="0"/>
        <v>4390.6448343665506</v>
      </c>
    </row>
    <row r="14" spans="2:6" x14ac:dyDescent="0.25">
      <c r="B14" s="11" t="s">
        <v>8</v>
      </c>
      <c r="C14" s="5">
        <v>0</v>
      </c>
      <c r="D14" s="5">
        <v>0</v>
      </c>
      <c r="E14" s="5">
        <f>530000/1000000</f>
        <v>0.53</v>
      </c>
      <c r="F14" s="36">
        <f t="shared" si="0"/>
        <v>0.53</v>
      </c>
    </row>
    <row r="15" spans="2:6" x14ac:dyDescent="0.25">
      <c r="B15" s="11" t="s">
        <v>24</v>
      </c>
      <c r="C15" s="5">
        <v>0</v>
      </c>
      <c r="D15" s="5">
        <v>0</v>
      </c>
      <c r="E15" s="5">
        <v>0</v>
      </c>
      <c r="F15" s="36">
        <f t="shared" si="0"/>
        <v>0</v>
      </c>
    </row>
    <row r="16" spans="2:6" x14ac:dyDescent="0.25">
      <c r="B16" s="13" t="s">
        <v>9</v>
      </c>
      <c r="C16" s="39">
        <f>SUM(C8:C15)</f>
        <v>32503.294788856547</v>
      </c>
      <c r="D16" s="39">
        <f>SUM(D8:D15)</f>
        <v>0</v>
      </c>
      <c r="E16" s="39">
        <f>SUM(E8:E15)</f>
        <v>293.20651154000001</v>
      </c>
      <c r="F16" s="40">
        <f>+SUM(F8:F15)</f>
        <v>32796.501300396543</v>
      </c>
    </row>
    <row r="17" spans="2:6" x14ac:dyDescent="0.25">
      <c r="B17" s="11"/>
      <c r="C17" s="2"/>
      <c r="D17" s="2"/>
      <c r="E17" s="3"/>
      <c r="F17" s="12"/>
    </row>
    <row r="18" spans="2:6" ht="47.25" x14ac:dyDescent="0.25">
      <c r="B18" s="9" t="s">
        <v>10</v>
      </c>
      <c r="C18" s="4" t="s">
        <v>68</v>
      </c>
      <c r="D18" s="97" t="s">
        <v>69</v>
      </c>
      <c r="E18" s="97"/>
      <c r="F18" s="10" t="s">
        <v>1</v>
      </c>
    </row>
    <row r="19" spans="2:6" x14ac:dyDescent="0.25">
      <c r="B19" s="11" t="s">
        <v>13</v>
      </c>
      <c r="C19" s="82">
        <f>15715772687.73/1000000</f>
        <v>15715.772687729999</v>
      </c>
      <c r="D19" s="98">
        <v>0</v>
      </c>
      <c r="E19" s="98"/>
      <c r="F19" s="36">
        <f t="shared" ref="F19:F29" si="1">SUM(C19:E19)</f>
        <v>15715.772687729999</v>
      </c>
    </row>
    <row r="20" spans="2:6" x14ac:dyDescent="0.25">
      <c r="B20" s="11" t="s">
        <v>14</v>
      </c>
      <c r="C20" s="5">
        <v>0</v>
      </c>
      <c r="D20" s="93">
        <v>0</v>
      </c>
      <c r="E20" s="93"/>
      <c r="F20" s="36">
        <f t="shared" si="1"/>
        <v>0</v>
      </c>
    </row>
    <row r="21" spans="2:6" x14ac:dyDescent="0.25">
      <c r="B21" s="11" t="s">
        <v>15</v>
      </c>
      <c r="C21" s="5">
        <f>SUM(C22:C24)</f>
        <v>0</v>
      </c>
      <c r="D21" s="93">
        <v>0</v>
      </c>
      <c r="E21" s="93"/>
      <c r="F21" s="36">
        <f t="shared" si="1"/>
        <v>0</v>
      </c>
    </row>
    <row r="22" spans="2:6" x14ac:dyDescent="0.25">
      <c r="B22" s="11" t="s">
        <v>16</v>
      </c>
      <c r="C22" s="5">
        <v>0</v>
      </c>
      <c r="D22" s="93">
        <v>0</v>
      </c>
      <c r="E22" s="93"/>
      <c r="F22" s="36">
        <f t="shared" si="1"/>
        <v>0</v>
      </c>
    </row>
    <row r="23" spans="2:6" x14ac:dyDescent="0.25">
      <c r="B23" s="11" t="s">
        <v>17</v>
      </c>
      <c r="C23" s="5">
        <v>0</v>
      </c>
      <c r="D23" s="93">
        <v>0</v>
      </c>
      <c r="E23" s="93"/>
      <c r="F23" s="36">
        <f t="shared" si="1"/>
        <v>0</v>
      </c>
    </row>
    <row r="24" spans="2:6" x14ac:dyDescent="0.25">
      <c r="B24" s="11" t="s">
        <v>18</v>
      </c>
      <c r="C24" s="5">
        <v>0</v>
      </c>
      <c r="D24" s="93">
        <v>0</v>
      </c>
      <c r="E24" s="93"/>
      <c r="F24" s="36">
        <f t="shared" si="1"/>
        <v>0</v>
      </c>
    </row>
    <row r="25" spans="2:6" x14ac:dyDescent="0.25">
      <c r="B25" s="11" t="s">
        <v>19</v>
      </c>
      <c r="C25" s="5"/>
      <c r="D25" s="93">
        <v>0</v>
      </c>
      <c r="E25" s="93"/>
      <c r="F25" s="36">
        <f t="shared" si="1"/>
        <v>0</v>
      </c>
    </row>
    <row r="26" spans="2:6" x14ac:dyDescent="0.25">
      <c r="B26" s="11" t="s">
        <v>20</v>
      </c>
      <c r="C26" s="5">
        <f>6187611092.52/1000000</f>
        <v>6187.6110925200001</v>
      </c>
      <c r="D26" s="93">
        <v>0</v>
      </c>
      <c r="E26" s="93"/>
      <c r="F26" s="36">
        <f t="shared" si="1"/>
        <v>6187.6110925200001</v>
      </c>
    </row>
    <row r="27" spans="2:6" x14ac:dyDescent="0.25">
      <c r="B27" s="11" t="s">
        <v>21</v>
      </c>
      <c r="C27" s="5">
        <v>0</v>
      </c>
      <c r="D27" s="93">
        <v>0</v>
      </c>
      <c r="E27" s="93"/>
      <c r="F27" s="36">
        <f t="shared" si="1"/>
        <v>0</v>
      </c>
    </row>
    <row r="28" spans="2:6" x14ac:dyDescent="0.25">
      <c r="B28" s="11" t="s">
        <v>22</v>
      </c>
      <c r="C28" s="5">
        <v>0</v>
      </c>
      <c r="D28" s="93">
        <v>0</v>
      </c>
      <c r="E28" s="93"/>
      <c r="F28" s="36">
        <f t="shared" si="1"/>
        <v>0</v>
      </c>
    </row>
    <row r="29" spans="2:6" x14ac:dyDescent="0.25">
      <c r="B29" s="11" t="s">
        <v>87</v>
      </c>
      <c r="C29" s="5">
        <f>52878289.871453/1000000</f>
        <v>52.878289871452999</v>
      </c>
      <c r="D29" s="87">
        <v>0</v>
      </c>
      <c r="E29" s="87"/>
      <c r="F29" s="36">
        <f t="shared" si="1"/>
        <v>52.878289871452999</v>
      </c>
    </row>
    <row r="30" spans="2:6" ht="16.5" thickBot="1" x14ac:dyDescent="0.3">
      <c r="B30" s="14" t="s">
        <v>23</v>
      </c>
      <c r="C30" s="37">
        <f>SUM(C19:C29)</f>
        <v>21956.262070121451</v>
      </c>
      <c r="D30" s="37"/>
      <c r="E30" s="37">
        <f>+SUM(E19:E29)</f>
        <v>0</v>
      </c>
      <c r="F30" s="38">
        <f>+SUM(F19:F29)</f>
        <v>21956.262070121451</v>
      </c>
    </row>
    <row r="31" spans="2:6" x14ac:dyDescent="0.25">
      <c r="B31" s="1"/>
      <c r="C31" s="7"/>
      <c r="D31" s="1"/>
      <c r="E31" s="7"/>
      <c r="F31" s="7"/>
    </row>
    <row r="32" spans="2:6" ht="16.5" thickBot="1" x14ac:dyDescent="0.3">
      <c r="B32" s="1"/>
      <c r="C32" s="7"/>
      <c r="D32" s="1"/>
      <c r="E32" s="7"/>
      <c r="F32" s="7"/>
    </row>
    <row r="33" spans="2:6" x14ac:dyDescent="0.25">
      <c r="B33" s="94" t="s">
        <v>66</v>
      </c>
      <c r="C33" s="95"/>
      <c r="D33" s="95"/>
      <c r="E33" s="95"/>
      <c r="F33" s="96"/>
    </row>
    <row r="34" spans="2:6" ht="63" x14ac:dyDescent="0.25">
      <c r="B34" s="15" t="s">
        <v>0</v>
      </c>
      <c r="C34" s="8" t="s">
        <v>67</v>
      </c>
      <c r="D34" s="8" t="s">
        <v>85</v>
      </c>
      <c r="E34" s="8" t="s">
        <v>84</v>
      </c>
      <c r="F34" s="16" t="s">
        <v>1</v>
      </c>
    </row>
    <row r="35" spans="2:6" x14ac:dyDescent="0.25">
      <c r="B35" s="11" t="s">
        <v>2</v>
      </c>
      <c r="C35" s="5">
        <f>795822759/1000000</f>
        <v>795.82275900000002</v>
      </c>
      <c r="D35" s="5">
        <v>0</v>
      </c>
      <c r="E35" s="5">
        <v>0</v>
      </c>
      <c r="F35" s="36">
        <f t="shared" ref="F35:F42" si="2">SUM(C35:E35)</f>
        <v>795.82275900000002</v>
      </c>
    </row>
    <row r="36" spans="2:6" x14ac:dyDescent="0.25">
      <c r="B36" s="11" t="s">
        <v>3</v>
      </c>
      <c r="C36" s="5">
        <f>868669741/1000000</f>
        <v>868.66974100000004</v>
      </c>
      <c r="D36" s="5">
        <v>0</v>
      </c>
      <c r="E36" s="5">
        <v>0</v>
      </c>
      <c r="F36" s="36">
        <f t="shared" si="2"/>
        <v>868.66974100000004</v>
      </c>
    </row>
    <row r="37" spans="2:6" x14ac:dyDescent="0.25">
      <c r="B37" s="11" t="s">
        <v>4</v>
      </c>
      <c r="C37" s="5">
        <f>1426456171/1000000</f>
        <v>1426.456171</v>
      </c>
      <c r="D37" s="5">
        <v>0</v>
      </c>
      <c r="E37" s="5">
        <v>0</v>
      </c>
      <c r="F37" s="36">
        <f t="shared" si="2"/>
        <v>1426.456171</v>
      </c>
    </row>
    <row r="38" spans="2:6" x14ac:dyDescent="0.25">
      <c r="B38" s="11" t="s">
        <v>5</v>
      </c>
      <c r="C38" s="5">
        <v>0</v>
      </c>
      <c r="D38" s="5">
        <v>0</v>
      </c>
      <c r="E38" s="5">
        <v>0</v>
      </c>
      <c r="F38" s="36">
        <f t="shared" si="2"/>
        <v>0</v>
      </c>
    </row>
    <row r="39" spans="2:6" x14ac:dyDescent="0.25">
      <c r="B39" s="11" t="s">
        <v>6</v>
      </c>
      <c r="C39" s="5">
        <f>18399121819.16/1000000</f>
        <v>18399.121819159998</v>
      </c>
      <c r="D39" s="5">
        <v>0</v>
      </c>
      <c r="E39" s="5">
        <v>0</v>
      </c>
      <c r="F39" s="36">
        <f t="shared" si="2"/>
        <v>18399.121819159998</v>
      </c>
    </row>
    <row r="40" spans="2:6" x14ac:dyDescent="0.25">
      <c r="B40" s="11" t="s">
        <v>7</v>
      </c>
      <c r="C40" s="5">
        <f>4596218668.83543/1000000</f>
        <v>4596.2186688354304</v>
      </c>
      <c r="D40" s="5">
        <v>0</v>
      </c>
      <c r="E40" s="5">
        <f>297199997/1000000</f>
        <v>297.199997</v>
      </c>
      <c r="F40" s="36">
        <f t="shared" si="2"/>
        <v>4893.4186658354301</v>
      </c>
    </row>
    <row r="41" spans="2:6" x14ac:dyDescent="0.25">
      <c r="B41" s="11" t="s">
        <v>8</v>
      </c>
      <c r="C41" s="5">
        <v>0</v>
      </c>
      <c r="D41" s="5">
        <v>0</v>
      </c>
      <c r="E41" s="5">
        <f>530000/1000000</f>
        <v>0.53</v>
      </c>
      <c r="F41" s="36">
        <f t="shared" si="2"/>
        <v>0.53</v>
      </c>
    </row>
    <row r="42" spans="2:6" x14ac:dyDescent="0.25">
      <c r="B42" s="11" t="s">
        <v>24</v>
      </c>
      <c r="C42" s="5">
        <v>0</v>
      </c>
      <c r="D42" s="5">
        <v>0</v>
      </c>
      <c r="E42" s="5">
        <v>0</v>
      </c>
      <c r="F42" s="36">
        <f t="shared" si="2"/>
        <v>0</v>
      </c>
    </row>
    <row r="43" spans="2:6" x14ac:dyDescent="0.25">
      <c r="B43" s="13" t="s">
        <v>9</v>
      </c>
      <c r="C43" s="39">
        <f>SUM(C35:C42)</f>
        <v>26086.289158995427</v>
      </c>
      <c r="D43" s="39">
        <f>SUM(D35:D42)</f>
        <v>0</v>
      </c>
      <c r="E43" s="39">
        <f>SUM(E35:E42)</f>
        <v>297.72999699999997</v>
      </c>
      <c r="F43" s="40">
        <f>+SUM(F35:F42)</f>
        <v>26384.019155995426</v>
      </c>
    </row>
    <row r="44" spans="2:6" x14ac:dyDescent="0.25">
      <c r="B44" s="11"/>
      <c r="C44" s="2"/>
      <c r="D44" s="2"/>
      <c r="E44" s="3"/>
      <c r="F44" s="12"/>
    </row>
    <row r="45" spans="2:6" ht="47.25" x14ac:dyDescent="0.25">
      <c r="B45" s="9" t="s">
        <v>10</v>
      </c>
      <c r="C45" s="4" t="s">
        <v>11</v>
      </c>
      <c r="D45" s="97" t="s">
        <v>12</v>
      </c>
      <c r="E45" s="97"/>
      <c r="F45" s="10" t="s">
        <v>1</v>
      </c>
    </row>
    <row r="46" spans="2:6" x14ac:dyDescent="0.25">
      <c r="B46" s="11" t="s">
        <v>13</v>
      </c>
      <c r="C46" s="5">
        <f>10725660593/1000000</f>
        <v>10725.660593000001</v>
      </c>
      <c r="D46" s="98">
        <v>0</v>
      </c>
      <c r="E46" s="98"/>
      <c r="F46" s="36">
        <f t="shared" ref="F46:F56" si="3">SUM(C46:E46)</f>
        <v>10725.660593000001</v>
      </c>
    </row>
    <row r="47" spans="2:6" x14ac:dyDescent="0.25">
      <c r="B47" s="11" t="s">
        <v>14</v>
      </c>
      <c r="C47" s="5">
        <v>0</v>
      </c>
      <c r="D47" s="93">
        <v>0</v>
      </c>
      <c r="E47" s="93"/>
      <c r="F47" s="36">
        <f t="shared" si="3"/>
        <v>0</v>
      </c>
    </row>
    <row r="48" spans="2:6" x14ac:dyDescent="0.25">
      <c r="B48" s="11" t="s">
        <v>15</v>
      </c>
      <c r="C48" s="5">
        <f>SUM(C49:C51)</f>
        <v>0</v>
      </c>
      <c r="D48" s="93">
        <v>0</v>
      </c>
      <c r="E48" s="93"/>
      <c r="F48" s="36">
        <f t="shared" si="3"/>
        <v>0</v>
      </c>
    </row>
    <row r="49" spans="2:6" x14ac:dyDescent="0.25">
      <c r="B49" s="11" t="s">
        <v>16</v>
      </c>
      <c r="C49" s="5">
        <v>0</v>
      </c>
      <c r="D49" s="93">
        <v>0</v>
      </c>
      <c r="E49" s="93"/>
      <c r="F49" s="36">
        <f t="shared" si="3"/>
        <v>0</v>
      </c>
    </row>
    <row r="50" spans="2:6" x14ac:dyDescent="0.25">
      <c r="B50" s="11" t="s">
        <v>17</v>
      </c>
      <c r="C50" s="5">
        <v>0</v>
      </c>
      <c r="D50" s="93">
        <v>0</v>
      </c>
      <c r="E50" s="93"/>
      <c r="F50" s="36">
        <f t="shared" si="3"/>
        <v>0</v>
      </c>
    </row>
    <row r="51" spans="2:6" x14ac:dyDescent="0.25">
      <c r="B51" s="11" t="s">
        <v>18</v>
      </c>
      <c r="C51" s="5">
        <v>0</v>
      </c>
      <c r="D51" s="93">
        <v>0</v>
      </c>
      <c r="E51" s="93"/>
      <c r="F51" s="36">
        <f t="shared" si="3"/>
        <v>0</v>
      </c>
    </row>
    <row r="52" spans="2:6" x14ac:dyDescent="0.25">
      <c r="B52" s="11" t="s">
        <v>19</v>
      </c>
      <c r="C52" s="5"/>
      <c r="D52" s="93">
        <v>0</v>
      </c>
      <c r="E52" s="93"/>
      <c r="F52" s="36">
        <f t="shared" si="3"/>
        <v>0</v>
      </c>
    </row>
    <row r="53" spans="2:6" x14ac:dyDescent="0.25">
      <c r="B53" s="11" t="s">
        <v>20</v>
      </c>
      <c r="C53" s="5">
        <f>4807324455/1000000</f>
        <v>4807.3244549999999</v>
      </c>
      <c r="D53" s="93">
        <v>0</v>
      </c>
      <c r="E53" s="93"/>
      <c r="F53" s="36">
        <f t="shared" si="3"/>
        <v>4807.3244549999999</v>
      </c>
    </row>
    <row r="54" spans="2:6" x14ac:dyDescent="0.25">
      <c r="B54" s="11" t="s">
        <v>21</v>
      </c>
      <c r="C54" s="5">
        <v>0</v>
      </c>
      <c r="D54" s="93">
        <v>0</v>
      </c>
      <c r="E54" s="93"/>
      <c r="F54" s="36">
        <f t="shared" si="3"/>
        <v>0</v>
      </c>
    </row>
    <row r="55" spans="2:6" x14ac:dyDescent="0.25">
      <c r="B55" s="11" t="s">
        <v>22</v>
      </c>
      <c r="C55" s="5">
        <v>0</v>
      </c>
      <c r="D55" s="93">
        <v>0</v>
      </c>
      <c r="E55" s="93"/>
      <c r="F55" s="36">
        <f t="shared" si="3"/>
        <v>0</v>
      </c>
    </row>
    <row r="56" spans="2:6" x14ac:dyDescent="0.25">
      <c r="B56" s="11" t="s">
        <v>87</v>
      </c>
      <c r="C56" s="5">
        <f>52996940/1000000</f>
        <v>52.996940000000002</v>
      </c>
      <c r="D56" s="87">
        <v>0</v>
      </c>
      <c r="E56" s="87"/>
      <c r="F56" s="36">
        <f t="shared" si="3"/>
        <v>52.996940000000002</v>
      </c>
    </row>
    <row r="57" spans="2:6" x14ac:dyDescent="0.25">
      <c r="B57" s="13" t="s">
        <v>23</v>
      </c>
      <c r="C57" s="39">
        <f>SUM(C46:C56)</f>
        <v>15585.981988000001</v>
      </c>
      <c r="D57" s="39"/>
      <c r="E57" s="39">
        <f>+SUM(E46:E56)</f>
        <v>0</v>
      </c>
      <c r="F57" s="40">
        <f>+SUM(F46:F56)</f>
        <v>15585.981988000001</v>
      </c>
    </row>
    <row r="58" spans="2:6" ht="16.5" thickBot="1" x14ac:dyDescent="0.3">
      <c r="B58" s="17"/>
      <c r="C58" s="18"/>
      <c r="D58" s="18"/>
      <c r="E58" s="18"/>
      <c r="F58" s="19"/>
    </row>
    <row r="60" spans="2:6" ht="16.5" thickBot="1" x14ac:dyDescent="0.3"/>
    <row r="61" spans="2:6" x14ac:dyDescent="0.25">
      <c r="B61" s="90" t="s">
        <v>65</v>
      </c>
      <c r="C61" s="91"/>
      <c r="D61" s="92"/>
    </row>
    <row r="62" spans="2:6" ht="16.5" thickBot="1" x14ac:dyDescent="0.3">
      <c r="B62" s="84" t="s">
        <v>90</v>
      </c>
      <c r="C62" s="85"/>
      <c r="D62" s="86"/>
    </row>
    <row r="63" spans="2:6" x14ac:dyDescent="0.25">
      <c r="B63" s="22"/>
      <c r="C63" s="23"/>
      <c r="D63" s="24"/>
    </row>
    <row r="64" spans="2:6" x14ac:dyDescent="0.25">
      <c r="B64" s="25"/>
      <c r="C64" s="26" t="s">
        <v>91</v>
      </c>
      <c r="D64" s="27" t="s">
        <v>32</v>
      </c>
    </row>
    <row r="65" spans="2:4" x14ac:dyDescent="0.25">
      <c r="B65" s="22" t="s">
        <v>25</v>
      </c>
      <c r="C65" s="23"/>
      <c r="D65" s="24"/>
    </row>
    <row r="66" spans="2:4" x14ac:dyDescent="0.25">
      <c r="B66" s="28" t="s">
        <v>26</v>
      </c>
      <c r="C66" s="23">
        <f>1703649794.23/1000000</f>
        <v>1703.64979423</v>
      </c>
      <c r="D66" s="42">
        <f>1418806580.28/1000000</f>
        <v>1418.8065802799999</v>
      </c>
    </row>
    <row r="67" spans="2:4" x14ac:dyDescent="0.25">
      <c r="B67" s="28" t="s">
        <v>27</v>
      </c>
      <c r="C67" s="23">
        <f>434469629.58/1000000</f>
        <v>434.46962958</v>
      </c>
      <c r="D67" s="42">
        <f>396417655.79/1000000</f>
        <v>396.41765579000003</v>
      </c>
    </row>
    <row r="68" spans="2:4" x14ac:dyDescent="0.25">
      <c r="B68" s="28" t="s">
        <v>28</v>
      </c>
      <c r="C68" s="23">
        <f>1797415710.5/1000000</f>
        <v>1797.4157104999999</v>
      </c>
      <c r="D68" s="42">
        <f>1280629781.17/1000000</f>
        <v>1280.6297811700001</v>
      </c>
    </row>
    <row r="69" spans="2:4" x14ac:dyDescent="0.25">
      <c r="B69" s="29" t="s">
        <v>29</v>
      </c>
      <c r="C69" s="23">
        <f>91697160.8/1000000</f>
        <v>91.697160799999992</v>
      </c>
      <c r="D69" s="42">
        <f>(27678123.8+6534717)/1000000</f>
        <v>34.212840799999995</v>
      </c>
    </row>
    <row r="70" spans="2:4" ht="16.5" thickBot="1" x14ac:dyDescent="0.3">
      <c r="B70" s="30"/>
      <c r="C70" s="20">
        <f>SUM(C66:C69)</f>
        <v>4027.23229511</v>
      </c>
      <c r="D70" s="31">
        <f>SUM(D66:D69)</f>
        <v>3130.0668580399997</v>
      </c>
    </row>
    <row r="71" spans="2:4" ht="16.5" thickTop="1" x14ac:dyDescent="0.25">
      <c r="B71" s="30"/>
      <c r="C71" s="23"/>
      <c r="D71" s="24"/>
    </row>
    <row r="72" spans="2:4" x14ac:dyDescent="0.25">
      <c r="B72" s="22" t="s">
        <v>30</v>
      </c>
      <c r="C72" s="23"/>
      <c r="D72" s="43"/>
    </row>
    <row r="73" spans="2:4" x14ac:dyDescent="0.25">
      <c r="B73" s="28" t="s">
        <v>26</v>
      </c>
      <c r="C73" s="23">
        <f>1131058231/1000000</f>
        <v>1131.058231</v>
      </c>
      <c r="D73" s="42">
        <f>853831463/1000000</f>
        <v>853.83146299999999</v>
      </c>
    </row>
    <row r="74" spans="2:4" x14ac:dyDescent="0.25">
      <c r="B74" s="28" t="s">
        <v>27</v>
      </c>
      <c r="C74" s="23">
        <f>549432490.47/1000000</f>
        <v>549.43249047000006</v>
      </c>
      <c r="D74" s="42">
        <f>458868257/1000000</f>
        <v>458.86825700000003</v>
      </c>
    </row>
    <row r="75" spans="2:4" x14ac:dyDescent="0.25">
      <c r="B75" s="28" t="s">
        <v>28</v>
      </c>
      <c r="C75" s="23">
        <f>440292596.94/1000000</f>
        <v>440.29259694000001</v>
      </c>
      <c r="D75" s="42">
        <f>363871466.89/1000000</f>
        <v>363.87146688999997</v>
      </c>
    </row>
    <row r="76" spans="2:4" x14ac:dyDescent="0.25">
      <c r="B76" s="29" t="s">
        <v>29</v>
      </c>
      <c r="C76" s="23">
        <f>39595479/1000000</f>
        <v>39.595478999999997</v>
      </c>
      <c r="D76" s="42">
        <f>686410/1000000</f>
        <v>0.68640999999999996</v>
      </c>
    </row>
    <row r="77" spans="2:4" ht="16.5" thickBot="1" x14ac:dyDescent="0.3">
      <c r="B77" s="30"/>
      <c r="C77" s="20">
        <f>SUM(C73:C76)</f>
        <v>2160.3787974100001</v>
      </c>
      <c r="D77" s="31">
        <f>SUM(D73:D76)</f>
        <v>1677.2575968900001</v>
      </c>
    </row>
    <row r="78" spans="2:4" ht="16.5" thickTop="1" x14ac:dyDescent="0.25">
      <c r="B78" s="25"/>
      <c r="C78" s="23"/>
      <c r="D78" s="24"/>
    </row>
    <row r="79" spans="2:4" ht="16.5" thickBot="1" x14ac:dyDescent="0.3">
      <c r="B79" s="32" t="s">
        <v>31</v>
      </c>
      <c r="C79" s="20">
        <f>C70+C77</f>
        <v>6187.6110925200001</v>
      </c>
      <c r="D79" s="31">
        <f>D70+D77</f>
        <v>4807.3244549299998</v>
      </c>
    </row>
    <row r="80" spans="2:4" ht="17.25" thickTop="1" thickBot="1" x14ac:dyDescent="0.3">
      <c r="B80" s="33"/>
      <c r="C80" s="34"/>
      <c r="D80" s="35"/>
    </row>
    <row r="84" spans="3:3" x14ac:dyDescent="0.25">
      <c r="C84" s="83"/>
    </row>
  </sheetData>
  <mergeCells count="31">
    <mergeCell ref="D48:E48"/>
    <mergeCell ref="D49:E49"/>
    <mergeCell ref="D50:E50"/>
    <mergeCell ref="D51:E51"/>
    <mergeCell ref="D52:E52"/>
    <mergeCell ref="D22:E22"/>
    <mergeCell ref="B33:F33"/>
    <mergeCell ref="D45:E45"/>
    <mergeCell ref="D46:E46"/>
    <mergeCell ref="D47:E47"/>
    <mergeCell ref="B6:F6"/>
    <mergeCell ref="D18:E18"/>
    <mergeCell ref="D19:E19"/>
    <mergeCell ref="D20:E20"/>
    <mergeCell ref="D21:E21"/>
    <mergeCell ref="B62:D62"/>
    <mergeCell ref="D29:E29"/>
    <mergeCell ref="B4:F4"/>
    <mergeCell ref="B2:F2"/>
    <mergeCell ref="B61:D61"/>
    <mergeCell ref="B3:F3"/>
    <mergeCell ref="D23:E23"/>
    <mergeCell ref="D24:E24"/>
    <mergeCell ref="D25:E25"/>
    <mergeCell ref="D26:E26"/>
    <mergeCell ref="D27:E27"/>
    <mergeCell ref="D28:E28"/>
    <mergeCell ref="D53:E53"/>
    <mergeCell ref="D54:E54"/>
    <mergeCell ref="D55:E55"/>
    <mergeCell ref="D56:E56"/>
  </mergeCells>
  <pageMargins left="0.7" right="0.7" top="0.75" bottom="0.75" header="0.3" footer="0.3"/>
  <pageSetup paperSize="9" scale="56" fitToHeight="0" orientation="portrait" r:id="rId1"/>
  <rowBreaks count="2" manualBreakCount="2">
    <brk id="59" max="6" man="1"/>
    <brk id="10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4"/>
  <sheetViews>
    <sheetView tabSelected="1" view="pageBreakPreview" zoomScaleNormal="100" zoomScaleSheetLayoutView="100" workbookViewId="0">
      <selection activeCell="C6" sqref="C6"/>
    </sheetView>
  </sheetViews>
  <sheetFormatPr defaultRowHeight="15.75" x14ac:dyDescent="0.25"/>
  <cols>
    <col min="1" max="1" width="7.7109375" style="73" customWidth="1"/>
    <col min="2" max="2" width="53.5703125" style="77" bestFit="1" customWidth="1"/>
    <col min="3" max="3" width="18.7109375" style="77" bestFit="1" customWidth="1"/>
    <col min="4" max="4" width="16.85546875" style="73" bestFit="1" customWidth="1"/>
    <col min="5" max="5" width="9.140625" style="73"/>
    <col min="6" max="6" width="19.85546875" style="73" hidden="1" customWidth="1"/>
    <col min="7" max="7" width="18.7109375" style="73" hidden="1" customWidth="1"/>
    <col min="8" max="8" width="0" style="73" hidden="1" customWidth="1"/>
    <col min="9" max="9" width="19.85546875" style="78" hidden="1" customWidth="1"/>
    <col min="10" max="10" width="18.7109375" style="73" hidden="1" customWidth="1"/>
    <col min="11" max="12" width="0" style="73" hidden="1" customWidth="1"/>
    <col min="13" max="13" width="19.85546875" style="78" hidden="1" customWidth="1"/>
    <col min="14" max="14" width="16.85546875" style="73" hidden="1" customWidth="1"/>
    <col min="15" max="17" width="0" style="73" hidden="1" customWidth="1"/>
    <col min="18" max="16384" width="9.140625" style="73"/>
  </cols>
  <sheetData>
    <row r="1" spans="2:14" s="50" customFormat="1" ht="33.75" customHeight="1" x14ac:dyDescent="0.25">
      <c r="B1" s="99" t="s">
        <v>72</v>
      </c>
      <c r="C1" s="100"/>
      <c r="D1" s="101"/>
      <c r="I1" s="51"/>
      <c r="M1" s="51"/>
    </row>
    <row r="2" spans="2:14" s="50" customFormat="1" ht="16.5" thickBot="1" x14ac:dyDescent="0.3">
      <c r="B2" s="102" t="s">
        <v>90</v>
      </c>
      <c r="C2" s="103"/>
      <c r="D2" s="104"/>
      <c r="I2" s="51"/>
      <c r="M2" s="51"/>
    </row>
    <row r="3" spans="2:14" s="50" customFormat="1" x14ac:dyDescent="0.25">
      <c r="B3" s="79"/>
      <c r="C3" s="80"/>
      <c r="D3" s="81"/>
      <c r="I3" s="51"/>
      <c r="M3" s="51"/>
    </row>
    <row r="4" spans="2:14" s="50" customFormat="1" x14ac:dyDescent="0.25">
      <c r="B4" s="44" t="s">
        <v>58</v>
      </c>
      <c r="C4" s="53"/>
      <c r="D4" s="54"/>
      <c r="I4" s="51"/>
      <c r="M4" s="51"/>
    </row>
    <row r="5" spans="2:14" s="50" customFormat="1" x14ac:dyDescent="0.25">
      <c r="B5" s="44"/>
      <c r="C5" s="53"/>
      <c r="D5" s="54"/>
      <c r="I5" s="105" t="s">
        <v>77</v>
      </c>
      <c r="J5" s="105"/>
      <c r="M5" s="51"/>
    </row>
    <row r="6" spans="2:14" s="50" customFormat="1" x14ac:dyDescent="0.25">
      <c r="B6" s="44" t="s">
        <v>40</v>
      </c>
      <c r="C6" s="47" t="s">
        <v>91</v>
      </c>
      <c r="D6" s="45" t="s">
        <v>32</v>
      </c>
      <c r="F6" s="55" t="s">
        <v>80</v>
      </c>
      <c r="G6" s="50" t="s">
        <v>76</v>
      </c>
      <c r="I6" s="51" t="s">
        <v>75</v>
      </c>
      <c r="J6" s="50" t="s">
        <v>76</v>
      </c>
      <c r="M6" s="51"/>
    </row>
    <row r="7" spans="2:14" s="50" customFormat="1" x14ac:dyDescent="0.25">
      <c r="B7" s="56" t="s">
        <v>33</v>
      </c>
      <c r="C7" s="53">
        <v>1644.79</v>
      </c>
      <c r="D7" s="36">
        <f>1444.38873971-0.15</f>
        <v>1444.2387397099999</v>
      </c>
      <c r="I7" s="51">
        <f>2320187517</f>
        <v>2320187517</v>
      </c>
      <c r="J7" s="57">
        <f>D7+D17-I7</f>
        <v>-2320185196.8167315</v>
      </c>
      <c r="M7" s="51"/>
    </row>
    <row r="8" spans="2:14" s="50" customFormat="1" x14ac:dyDescent="0.25">
      <c r="B8" s="11" t="s">
        <v>38</v>
      </c>
      <c r="C8" s="5">
        <v>4102.07</v>
      </c>
      <c r="D8" s="36">
        <f>5864.90532530786+9.31</f>
        <v>5874.2153253078604</v>
      </c>
      <c r="I8" s="51">
        <f>1173339006+14116590195</f>
        <v>15289929201</v>
      </c>
      <c r="J8" s="57">
        <f>D8+D18-I8</f>
        <v>-15289913911.072475</v>
      </c>
      <c r="M8" s="51"/>
    </row>
    <row r="9" spans="2:14" s="50" customFormat="1" x14ac:dyDescent="0.25">
      <c r="B9" s="11" t="s">
        <v>35</v>
      </c>
      <c r="C9" s="5"/>
      <c r="D9" s="36"/>
      <c r="I9" s="51"/>
      <c r="J9" s="57">
        <f>D9+D19-I9</f>
        <v>0</v>
      </c>
      <c r="M9" s="51"/>
    </row>
    <row r="10" spans="2:14" s="50" customFormat="1" x14ac:dyDescent="0.25">
      <c r="B10" s="11" t="s">
        <v>36</v>
      </c>
      <c r="C10" s="5"/>
      <c r="D10" s="36"/>
      <c r="I10" s="51"/>
      <c r="J10" s="57">
        <f t="shared" ref="J10:J11" si="0">D10+D20-I10</f>
        <v>0</v>
      </c>
      <c r="M10" s="51"/>
    </row>
    <row r="11" spans="2:14" s="50" customFormat="1" x14ac:dyDescent="0.25">
      <c r="B11" s="11" t="s">
        <v>39</v>
      </c>
      <c r="C11" s="5"/>
      <c r="D11" s="36"/>
      <c r="I11" s="51"/>
      <c r="J11" s="57">
        <f t="shared" si="0"/>
        <v>0</v>
      </c>
      <c r="M11" s="51"/>
    </row>
    <row r="12" spans="2:14" s="50" customFormat="1" x14ac:dyDescent="0.25">
      <c r="B12" s="56" t="s">
        <v>34</v>
      </c>
      <c r="C12" s="53">
        <v>0</v>
      </c>
      <c r="D12" s="36">
        <v>34.153456023763887</v>
      </c>
      <c r="I12" s="51">
        <f>847866856</f>
        <v>847866856</v>
      </c>
      <c r="J12" s="57">
        <f>D12+D22-I12</f>
        <v>-847866008.13200903</v>
      </c>
      <c r="M12" s="51"/>
    </row>
    <row r="13" spans="2:14" s="50" customFormat="1" x14ac:dyDescent="0.25">
      <c r="B13" s="56" t="s">
        <v>37</v>
      </c>
      <c r="C13" s="53">
        <v>94.27</v>
      </c>
      <c r="D13" s="36">
        <f>65.1366492583746-4.31</f>
        <v>60.826649258374601</v>
      </c>
      <c r="I13" s="51">
        <f>60821861</f>
        <v>60821861</v>
      </c>
      <c r="J13" s="57">
        <f>D13+D23-I13</f>
        <v>-60821800.173350744</v>
      </c>
      <c r="M13" s="51"/>
    </row>
    <row r="14" spans="2:14" s="50" customFormat="1" x14ac:dyDescent="0.25">
      <c r="B14" s="52" t="s">
        <v>46</v>
      </c>
      <c r="C14" s="39">
        <f>SUM(C7:C13)</f>
        <v>5841.13</v>
      </c>
      <c r="D14" s="40">
        <f>SUM(D7:D13)</f>
        <v>7413.4341702999991</v>
      </c>
      <c r="F14" s="51">
        <f>7635892850.65/1000000</f>
        <v>7635.8928506499997</v>
      </c>
      <c r="G14" s="57">
        <f>F14-C14</f>
        <v>1794.7628506499996</v>
      </c>
      <c r="I14" s="51">
        <f>SUM(I7:I13)</f>
        <v>18518805435</v>
      </c>
      <c r="J14" s="51">
        <f>SUM(J7:J13)</f>
        <v>-18518786916.194565</v>
      </c>
      <c r="L14" s="50" t="s">
        <v>78</v>
      </c>
      <c r="M14" s="51">
        <v>7408584172.1561794</v>
      </c>
      <c r="N14" s="106">
        <f>M14+M15</f>
        <v>18518805434.113182</v>
      </c>
    </row>
    <row r="15" spans="2:14" s="50" customFormat="1" x14ac:dyDescent="0.25">
      <c r="B15" s="56"/>
      <c r="C15" s="53"/>
      <c r="D15" s="64"/>
      <c r="I15" s="51"/>
      <c r="L15" s="50" t="s">
        <v>79</v>
      </c>
      <c r="M15" s="51">
        <v>11110221261.957001</v>
      </c>
      <c r="N15" s="106"/>
    </row>
    <row r="16" spans="2:14" s="50" customFormat="1" x14ac:dyDescent="0.25">
      <c r="B16" s="44" t="s">
        <v>41</v>
      </c>
      <c r="C16" s="5"/>
      <c r="D16" s="36"/>
      <c r="F16" s="55" t="s">
        <v>81</v>
      </c>
      <c r="I16" s="51"/>
      <c r="M16" s="51"/>
    </row>
    <row r="17" spans="2:13" s="50" customFormat="1" x14ac:dyDescent="0.25">
      <c r="B17" s="56" t="s">
        <v>33</v>
      </c>
      <c r="C17" s="53">
        <v>865.97</v>
      </c>
      <c r="D17" s="36">
        <v>875.94452882620192</v>
      </c>
      <c r="H17" s="50" t="s">
        <v>33</v>
      </c>
      <c r="I17" s="51">
        <v>2320187517</v>
      </c>
      <c r="J17" s="58">
        <f>I17/1000000-D7-D17</f>
        <v>4.2484637980351181E-3</v>
      </c>
      <c r="M17" s="51"/>
    </row>
    <row r="18" spans="2:13" s="50" customFormat="1" x14ac:dyDescent="0.25">
      <c r="B18" s="11" t="s">
        <v>38</v>
      </c>
      <c r="C18" s="5">
        <v>12944.3</v>
      </c>
      <c r="D18" s="36">
        <v>9415.7121985097765</v>
      </c>
      <c r="H18" s="50" t="s">
        <v>34</v>
      </c>
      <c r="I18" s="51">
        <v>847866856</v>
      </c>
      <c r="J18" s="58">
        <f>I18/1000000-D22-D12</f>
        <v>-1.1349362688761744E-3</v>
      </c>
      <c r="M18" s="51"/>
    </row>
    <row r="19" spans="2:13" s="50" customFormat="1" x14ac:dyDescent="0.25">
      <c r="B19" s="11" t="s">
        <v>35</v>
      </c>
      <c r="C19" s="5"/>
      <c r="D19" s="36">
        <v>0</v>
      </c>
      <c r="H19" s="50" t="s">
        <v>35</v>
      </c>
      <c r="I19" s="51">
        <v>0</v>
      </c>
      <c r="M19" s="51"/>
    </row>
    <row r="20" spans="2:13" s="50" customFormat="1" x14ac:dyDescent="0.25">
      <c r="B20" s="11" t="s">
        <v>36</v>
      </c>
      <c r="C20" s="5"/>
      <c r="D20" s="36">
        <v>0</v>
      </c>
      <c r="H20" s="50" t="s">
        <v>36</v>
      </c>
      <c r="I20" s="51">
        <v>0</v>
      </c>
      <c r="M20" s="51"/>
    </row>
    <row r="21" spans="2:13" s="50" customFormat="1" x14ac:dyDescent="0.25">
      <c r="B21" s="11" t="s">
        <v>39</v>
      </c>
      <c r="C21" s="5"/>
      <c r="D21" s="36">
        <v>0</v>
      </c>
      <c r="H21" s="50" t="s">
        <v>37</v>
      </c>
      <c r="I21" s="51">
        <v>60821861</v>
      </c>
      <c r="J21" s="58">
        <f>I21/1000000-D13</f>
        <v>-4.7882583746030605E-3</v>
      </c>
      <c r="M21" s="51"/>
    </row>
    <row r="22" spans="2:13" s="50" customFormat="1" x14ac:dyDescent="0.25">
      <c r="B22" s="56" t="s">
        <v>34</v>
      </c>
      <c r="C22" s="53">
        <v>1836.51</v>
      </c>
      <c r="D22" s="36">
        <f>818.564534912505-4.85</f>
        <v>813.71453491250497</v>
      </c>
      <c r="H22" s="50" t="s">
        <v>38</v>
      </c>
      <c r="I22" s="51"/>
      <c r="M22" s="51"/>
    </row>
    <row r="23" spans="2:13" s="50" customFormat="1" x14ac:dyDescent="0.25">
      <c r="B23" s="56" t="s">
        <v>37</v>
      </c>
      <c r="C23" s="53"/>
      <c r="D23" s="36">
        <v>0</v>
      </c>
      <c r="H23" s="50" t="s">
        <v>82</v>
      </c>
      <c r="I23" s="51">
        <v>1173339006</v>
      </c>
      <c r="J23" s="58">
        <f>(I23+I24)/1000000-D8-D18</f>
        <v>1.6771823648014106E-3</v>
      </c>
      <c r="M23" s="51"/>
    </row>
    <row r="24" spans="2:13" s="50" customFormat="1" x14ac:dyDescent="0.25">
      <c r="B24" s="52" t="s">
        <v>46</v>
      </c>
      <c r="C24" s="39">
        <f>SUM(C17:C23)</f>
        <v>15646.779999999999</v>
      </c>
      <c r="D24" s="40">
        <f>SUM(D17:D23)</f>
        <v>11105.371262248484</v>
      </c>
      <c r="F24" s="51">
        <f>13901036881/1000000</f>
        <v>13901.036881</v>
      </c>
      <c r="G24" s="57">
        <f>F24-C24</f>
        <v>-1745.7431189999988</v>
      </c>
      <c r="H24" s="50" t="s">
        <v>83</v>
      </c>
      <c r="I24" s="51">
        <v>14116590195</v>
      </c>
      <c r="M24" s="51"/>
    </row>
    <row r="25" spans="2:13" s="50" customFormat="1" x14ac:dyDescent="0.25">
      <c r="B25" s="52"/>
      <c r="C25" s="48"/>
      <c r="D25" s="49"/>
      <c r="I25" s="51">
        <f>SUM(I17:I24)</f>
        <v>18518805435</v>
      </c>
      <c r="M25" s="51"/>
    </row>
    <row r="26" spans="2:13" s="50" customFormat="1" ht="16.5" thickBot="1" x14ac:dyDescent="0.3">
      <c r="B26" s="52" t="s">
        <v>47</v>
      </c>
      <c r="C26" s="41">
        <f>C14+C24</f>
        <v>21487.91</v>
      </c>
      <c r="D26" s="46">
        <f>18518805435/1000000</f>
        <v>18518.805434999998</v>
      </c>
      <c r="F26" s="57">
        <f>F14+F24</f>
        <v>21536.929731650001</v>
      </c>
      <c r="G26" s="57">
        <f>G14+G24</f>
        <v>49.019731650000722</v>
      </c>
      <c r="I26" s="59">
        <f>I25/1000000</f>
        <v>18518.805434999998</v>
      </c>
      <c r="M26" s="51"/>
    </row>
    <row r="27" spans="2:13" s="50" customFormat="1" ht="16.5" thickTop="1" x14ac:dyDescent="0.25">
      <c r="B27" s="56"/>
      <c r="C27" s="53"/>
      <c r="D27" s="54"/>
      <c r="I27" s="51">
        <f>I26-D26</f>
        <v>0</v>
      </c>
      <c r="J27" s="58">
        <f>I26-D24-D14</f>
        <v>2.4515156837878749E-6</v>
      </c>
      <c r="M27" s="51"/>
    </row>
    <row r="28" spans="2:13" s="50" customFormat="1" x14ac:dyDescent="0.25">
      <c r="B28" s="44" t="s">
        <v>59</v>
      </c>
      <c r="C28" s="53"/>
      <c r="D28" s="54"/>
      <c r="I28" s="51"/>
      <c r="M28" s="51"/>
    </row>
    <row r="29" spans="2:13" s="50" customFormat="1" x14ac:dyDescent="0.25">
      <c r="B29" s="44" t="s">
        <v>40</v>
      </c>
      <c r="C29" s="53"/>
      <c r="D29" s="54"/>
      <c r="F29" s="58">
        <f>D26-D24-D14</f>
        <v>2.4515156837878749E-6</v>
      </c>
      <c r="I29" s="51"/>
      <c r="M29" s="51"/>
    </row>
    <row r="30" spans="2:13" s="50" customFormat="1" x14ac:dyDescent="0.25">
      <c r="B30" s="56" t="s">
        <v>42</v>
      </c>
      <c r="C30" s="53">
        <f>(3500000+2747680164.38)/1000000</f>
        <v>2751.18016438</v>
      </c>
      <c r="D30" s="64">
        <f>(3049097637.38+299157.44)/1000000</f>
        <v>3049.3967948200002</v>
      </c>
      <c r="I30" s="51"/>
      <c r="M30" s="51"/>
    </row>
    <row r="31" spans="2:13" s="50" customFormat="1" x14ac:dyDescent="0.25">
      <c r="B31" s="56" t="s">
        <v>43</v>
      </c>
      <c r="C31" s="53">
        <v>0</v>
      </c>
      <c r="D31" s="64">
        <v>0</v>
      </c>
      <c r="I31" s="51"/>
      <c r="M31" s="51"/>
    </row>
    <row r="32" spans="2:13" s="50" customFormat="1" x14ac:dyDescent="0.25">
      <c r="B32" s="56" t="s">
        <v>74</v>
      </c>
      <c r="C32" s="53">
        <f>1998827246.54/1000000</f>
        <v>1998.82724654</v>
      </c>
      <c r="D32" s="64">
        <f>(1307585142.4+9166678.07)/1000000</f>
        <v>1316.75182047</v>
      </c>
      <c r="I32" s="51"/>
      <c r="M32" s="51"/>
    </row>
    <row r="33" spans="2:13" s="50" customFormat="1" x14ac:dyDescent="0.25">
      <c r="B33" s="56" t="s">
        <v>44</v>
      </c>
      <c r="C33" s="53">
        <f>(2648207.88+134539348.32)/1000000</f>
        <v>137.18755619999999</v>
      </c>
      <c r="D33" s="64">
        <f>(2648207.88+134755348.32)/1000000</f>
        <v>137.4035562</v>
      </c>
      <c r="I33" s="51"/>
      <c r="M33" s="51"/>
    </row>
    <row r="34" spans="2:13" s="50" customFormat="1" x14ac:dyDescent="0.25">
      <c r="B34" s="56" t="s">
        <v>45</v>
      </c>
      <c r="C34" s="53">
        <f>(7000000)/1000000</f>
        <v>7</v>
      </c>
      <c r="D34" s="64">
        <f>(42042.79)/1000000</f>
        <v>4.2042790000000003E-2</v>
      </c>
      <c r="I34" s="51"/>
      <c r="M34" s="51"/>
    </row>
    <row r="35" spans="2:13" s="50" customFormat="1" x14ac:dyDescent="0.25">
      <c r="B35" s="52" t="s">
        <v>46</v>
      </c>
      <c r="C35" s="65">
        <f>SUM(C30:C34)</f>
        <v>4894.1949671199991</v>
      </c>
      <c r="D35" s="66">
        <f>SUM(D30:D34)</f>
        <v>4503.5942142799995</v>
      </c>
      <c r="I35" s="51"/>
      <c r="M35" s="51"/>
    </row>
    <row r="36" spans="2:13" s="50" customFormat="1" x14ac:dyDescent="0.25">
      <c r="B36" s="56"/>
      <c r="C36" s="53"/>
      <c r="D36" s="64"/>
      <c r="I36" s="51"/>
      <c r="M36" s="51"/>
    </row>
    <row r="37" spans="2:13" s="50" customFormat="1" x14ac:dyDescent="0.25">
      <c r="B37" s="44" t="s">
        <v>41</v>
      </c>
      <c r="C37" s="53"/>
      <c r="D37" s="64"/>
      <c r="I37" s="51"/>
      <c r="M37" s="51"/>
    </row>
    <row r="38" spans="2:13" s="50" customFormat="1" x14ac:dyDescent="0.25">
      <c r="B38" s="56" t="s">
        <v>42</v>
      </c>
      <c r="C38" s="53">
        <f>(5965811637.46)/1000000</f>
        <v>5965.8116374600004</v>
      </c>
      <c r="D38" s="64">
        <f>(5313656159.27367)/1000000</f>
        <v>5313.6561592736698</v>
      </c>
      <c r="I38" s="51"/>
      <c r="M38" s="51"/>
    </row>
    <row r="39" spans="2:13" s="50" customFormat="1" x14ac:dyDescent="0.25">
      <c r="B39" s="56" t="s">
        <v>43</v>
      </c>
      <c r="C39" s="53">
        <v>0</v>
      </c>
      <c r="D39" s="64">
        <v>0</v>
      </c>
      <c r="I39" s="51"/>
      <c r="M39" s="51"/>
    </row>
    <row r="40" spans="2:13" s="50" customFormat="1" x14ac:dyDescent="0.25">
      <c r="B40" s="56" t="s">
        <v>74</v>
      </c>
      <c r="C40" s="53">
        <f>((12687118.57+1173772.3)*187.2917)/1000000</f>
        <v>2596.029814556779</v>
      </c>
      <c r="D40" s="64">
        <f>((68281.62+5119524.4)*190.2667)/1000000</f>
        <v>987.06673166553401</v>
      </c>
      <c r="I40" s="51"/>
      <c r="M40" s="51"/>
    </row>
    <row r="41" spans="2:13" s="50" customFormat="1" x14ac:dyDescent="0.25">
      <c r="B41" s="56" t="s">
        <v>44</v>
      </c>
      <c r="C41" s="53">
        <f>((470738445.6+1470168400.71)/1000000)</f>
        <v>1940.90684631</v>
      </c>
      <c r="D41" s="64">
        <f>(478215802.45+(7849618.54*190.2667))/1000000</f>
        <v>1971.7368183146179</v>
      </c>
      <c r="I41" s="51"/>
      <c r="M41" s="51"/>
    </row>
    <row r="42" spans="2:13" s="50" customFormat="1" x14ac:dyDescent="0.25">
      <c r="B42" s="56" t="s">
        <v>45</v>
      </c>
      <c r="C42" s="53">
        <f>((583354+581206+14748+5542678)/1000)-C34</f>
        <v>6714.9859999999999</v>
      </c>
      <c r="D42" s="64">
        <f>((1491024975.49434+1395439.12218395)+4123448331.21+(367906013.37462+908558.042991552)-1)/1000000</f>
        <v>5984.6833162441353</v>
      </c>
      <c r="F42" s="60"/>
      <c r="I42" s="51"/>
      <c r="M42" s="51"/>
    </row>
    <row r="43" spans="2:13" s="50" customFormat="1" x14ac:dyDescent="0.25">
      <c r="B43" s="52" t="s">
        <v>46</v>
      </c>
      <c r="C43" s="65">
        <f>SUM(C38:C42)</f>
        <v>17217.734298326777</v>
      </c>
      <c r="D43" s="66">
        <f>SUM(D38:D42)</f>
        <v>14257.143025497957</v>
      </c>
      <c r="I43" s="51"/>
      <c r="M43" s="51"/>
    </row>
    <row r="44" spans="2:13" s="50" customFormat="1" x14ac:dyDescent="0.25">
      <c r="B44" s="56"/>
      <c r="C44" s="53"/>
      <c r="D44" s="64"/>
      <c r="I44" s="51"/>
      <c r="M44" s="51"/>
    </row>
    <row r="45" spans="2:13" s="50" customFormat="1" ht="16.5" thickBot="1" x14ac:dyDescent="0.3">
      <c r="B45" s="52" t="s">
        <v>47</v>
      </c>
      <c r="C45" s="67">
        <f>C35+C43</f>
        <v>22111.929265446775</v>
      </c>
      <c r="D45" s="68">
        <f>D35+D43</f>
        <v>18760.737239777955</v>
      </c>
      <c r="I45" s="51"/>
      <c r="M45" s="51"/>
    </row>
    <row r="46" spans="2:13" s="50" customFormat="1" ht="17.25" thickTop="1" thickBot="1" x14ac:dyDescent="0.3">
      <c r="B46" s="74"/>
      <c r="C46" s="75"/>
      <c r="D46" s="76"/>
      <c r="I46" s="51"/>
      <c r="M46" s="51"/>
    </row>
    <row r="47" spans="2:13" s="50" customFormat="1" ht="31.5" x14ac:dyDescent="0.25">
      <c r="B47" s="69" t="s">
        <v>73</v>
      </c>
      <c r="C47" s="53"/>
      <c r="D47" s="54"/>
      <c r="I47" s="51"/>
      <c r="M47" s="51"/>
    </row>
    <row r="48" spans="2:13" s="50" customFormat="1" x14ac:dyDescent="0.25">
      <c r="B48" s="56"/>
      <c r="C48" s="53"/>
      <c r="D48" s="54"/>
      <c r="I48" s="51"/>
      <c r="M48" s="51"/>
    </row>
    <row r="49" spans="2:13" s="50" customFormat="1" ht="31.5" x14ac:dyDescent="0.25">
      <c r="B49" s="70" t="s">
        <v>71</v>
      </c>
      <c r="C49" s="53">
        <f>C26+C45</f>
        <v>43599.839265446775</v>
      </c>
      <c r="D49" s="71">
        <f>D26+D45</f>
        <v>37279.542674777957</v>
      </c>
      <c r="I49" s="51"/>
      <c r="M49" s="51"/>
    </row>
    <row r="50" spans="2:13" s="50" customFormat="1" x14ac:dyDescent="0.25">
      <c r="B50" s="56" t="s">
        <v>48</v>
      </c>
      <c r="C50" s="53">
        <v>357.21</v>
      </c>
      <c r="D50" s="64">
        <f>81.2638569470624+38.4860397661395</f>
        <v>119.74989671320189</v>
      </c>
      <c r="F50" s="61"/>
      <c r="I50" s="51"/>
      <c r="M50" s="51"/>
    </row>
    <row r="51" spans="2:13" s="50" customFormat="1" x14ac:dyDescent="0.25">
      <c r="B51" s="56" t="s">
        <v>49</v>
      </c>
      <c r="C51" s="53">
        <v>27.87</v>
      </c>
      <c r="D51" s="64">
        <v>38.419758515847697</v>
      </c>
      <c r="F51" s="61"/>
      <c r="I51" s="51"/>
      <c r="M51" s="51"/>
    </row>
    <row r="52" spans="2:13" s="50" customFormat="1" x14ac:dyDescent="0.25">
      <c r="B52" s="56" t="s">
        <v>50</v>
      </c>
      <c r="C52" s="53">
        <v>0</v>
      </c>
      <c r="D52" s="64">
        <v>0</v>
      </c>
      <c r="I52" s="51"/>
      <c r="M52" s="51"/>
    </row>
    <row r="53" spans="2:13" s="50" customFormat="1" ht="31.5" x14ac:dyDescent="0.25">
      <c r="B53" s="69" t="s">
        <v>70</v>
      </c>
      <c r="C53" s="65">
        <f>C49-(C50+C51+C52)</f>
        <v>43214.759265446773</v>
      </c>
      <c r="D53" s="72">
        <f>D49-(D50+D51+D52)</f>
        <v>37121.373019548904</v>
      </c>
      <c r="I53" s="51"/>
      <c r="M53" s="51"/>
    </row>
    <row r="54" spans="2:13" s="50" customFormat="1" x14ac:dyDescent="0.25">
      <c r="B54" s="56"/>
      <c r="C54" s="53"/>
      <c r="D54" s="54"/>
      <c r="I54" s="51"/>
      <c r="M54" s="51"/>
    </row>
    <row r="55" spans="2:13" s="50" customFormat="1" x14ac:dyDescent="0.25">
      <c r="B55" s="52" t="s">
        <v>60</v>
      </c>
      <c r="C55" s="53"/>
      <c r="D55" s="54"/>
      <c r="I55" s="51"/>
      <c r="M55" s="51"/>
    </row>
    <row r="56" spans="2:13" s="50" customFormat="1" x14ac:dyDescent="0.25">
      <c r="B56" s="52"/>
      <c r="C56" s="53"/>
      <c r="D56" s="54"/>
      <c r="G56" s="50">
        <v>30169691.890592244</v>
      </c>
      <c r="I56" s="51"/>
      <c r="M56" s="51"/>
    </row>
    <row r="57" spans="2:13" s="50" customFormat="1" x14ac:dyDescent="0.25">
      <c r="B57" s="52" t="s">
        <v>51</v>
      </c>
      <c r="C57" s="53"/>
      <c r="D57" s="54"/>
      <c r="G57" s="50">
        <v>-367950.44912637072</v>
      </c>
      <c r="I57" s="51"/>
      <c r="M57" s="51"/>
    </row>
    <row r="58" spans="2:13" s="50" customFormat="1" x14ac:dyDescent="0.25">
      <c r="B58" s="56" t="s">
        <v>52</v>
      </c>
      <c r="C58" s="53">
        <v>237.46</v>
      </c>
      <c r="D58" s="64">
        <f>(13158305.9470623-3674760-6750175.84756123+2881631)/1000000</f>
        <v>5.6150010995010708</v>
      </c>
      <c r="F58" s="62"/>
      <c r="G58" s="73">
        <v>-3066422.3646981204</v>
      </c>
      <c r="I58" s="51"/>
      <c r="M58" s="51"/>
    </row>
    <row r="59" spans="2:13" s="50" customFormat="1" x14ac:dyDescent="0.25">
      <c r="B59" s="56" t="s">
        <v>53</v>
      </c>
      <c r="C59" s="53"/>
      <c r="D59" s="64"/>
      <c r="F59" s="62"/>
      <c r="G59" s="73">
        <v>1867491.3995446856</v>
      </c>
      <c r="I59" s="51"/>
      <c r="M59" s="51"/>
    </row>
    <row r="60" spans="2:13" s="50" customFormat="1" x14ac:dyDescent="0.25">
      <c r="B60" s="56" t="s">
        <v>54</v>
      </c>
      <c r="C60" s="53"/>
      <c r="D60" s="64"/>
      <c r="F60" s="62"/>
      <c r="I60" s="51"/>
      <c r="M60" s="51"/>
    </row>
    <row r="61" spans="2:13" s="50" customFormat="1" x14ac:dyDescent="0.25">
      <c r="B61" s="56" t="s">
        <v>61</v>
      </c>
      <c r="C61" s="53">
        <f>D61+C58-C59+C60</f>
        <v>357.20989671320183</v>
      </c>
      <c r="D61" s="64">
        <f>(81263856.9470623)/1000000+38.4860397661395</f>
        <v>119.74989671320179</v>
      </c>
      <c r="F61" s="62">
        <v>59505968.055166572</v>
      </c>
      <c r="G61" s="50">
        <f>SUM(G56:G59)</f>
        <v>28602810.47631244</v>
      </c>
      <c r="I61" s="51"/>
      <c r="M61" s="51"/>
    </row>
    <row r="62" spans="2:13" s="50" customFormat="1" x14ac:dyDescent="0.25">
      <c r="B62" s="52" t="s">
        <v>55</v>
      </c>
      <c r="C62" s="53"/>
      <c r="D62" s="64"/>
      <c r="F62" s="62">
        <v>7582882.1872853301</v>
      </c>
      <c r="I62" s="51"/>
      <c r="M62" s="51"/>
    </row>
    <row r="63" spans="2:13" s="50" customFormat="1" x14ac:dyDescent="0.25">
      <c r="B63" s="56" t="s">
        <v>52</v>
      </c>
      <c r="C63" s="53">
        <v>-10.55</v>
      </c>
      <c r="D63" s="64">
        <f>-14646563.0964527/1000000</f>
        <v>-14.6465630964527</v>
      </c>
      <c r="F63" s="62">
        <f>SUM(F61:F62)</f>
        <v>67088850.242451906</v>
      </c>
      <c r="I63" s="51"/>
      <c r="M63" s="51"/>
    </row>
    <row r="64" spans="2:13" s="50" customFormat="1" x14ac:dyDescent="0.25">
      <c r="B64" s="56" t="s">
        <v>53</v>
      </c>
      <c r="C64" s="53"/>
      <c r="D64" s="64"/>
      <c r="F64" s="62"/>
      <c r="I64" s="51"/>
      <c r="M64" s="51"/>
    </row>
    <row r="65" spans="2:13" s="50" customFormat="1" x14ac:dyDescent="0.25">
      <c r="B65" s="56" t="s">
        <v>54</v>
      </c>
      <c r="C65" s="53"/>
      <c r="D65" s="64"/>
      <c r="F65" s="62"/>
      <c r="I65" s="51"/>
      <c r="M65" s="51"/>
    </row>
    <row r="66" spans="2:13" s="50" customFormat="1" x14ac:dyDescent="0.25">
      <c r="B66" s="56" t="s">
        <v>61</v>
      </c>
      <c r="C66" s="53">
        <f>D66+C63-C64+C65</f>
        <v>27.869758515847803</v>
      </c>
      <c r="D66" s="64">
        <f>38419758.5158478/1000000</f>
        <v>38.419758515847803</v>
      </c>
      <c r="F66" s="62">
        <v>208682091.84864169</v>
      </c>
      <c r="I66" s="51"/>
      <c r="M66" s="51"/>
    </row>
    <row r="67" spans="2:13" s="50" customFormat="1" x14ac:dyDescent="0.25">
      <c r="B67" s="52" t="s">
        <v>56</v>
      </c>
      <c r="C67" s="53"/>
      <c r="D67" s="64"/>
      <c r="F67" s="63">
        <f>F66/1000000-C72</f>
        <v>-176.39756338040795</v>
      </c>
      <c r="I67" s="51"/>
      <c r="M67" s="51"/>
    </row>
    <row r="68" spans="2:13" s="50" customFormat="1" x14ac:dyDescent="0.25">
      <c r="B68" s="56" t="s">
        <v>52</v>
      </c>
      <c r="C68" s="53"/>
      <c r="D68" s="64">
        <f>-168078.701149564/1000000</f>
        <v>-0.168078701149564</v>
      </c>
      <c r="F68" s="62"/>
      <c r="I68" s="51"/>
      <c r="M68" s="51"/>
    </row>
    <row r="69" spans="2:13" s="50" customFormat="1" x14ac:dyDescent="0.25">
      <c r="B69" s="56" t="s">
        <v>53</v>
      </c>
      <c r="C69" s="53"/>
      <c r="D69" s="64"/>
      <c r="F69" s="62"/>
      <c r="I69" s="51"/>
      <c r="M69" s="51"/>
    </row>
    <row r="70" spans="2:13" s="50" customFormat="1" x14ac:dyDescent="0.25">
      <c r="B70" s="56" t="s">
        <v>54</v>
      </c>
      <c r="C70" s="53"/>
      <c r="D70" s="64"/>
      <c r="F70" s="62"/>
      <c r="I70" s="51"/>
      <c r="M70" s="51"/>
    </row>
    <row r="71" spans="2:13" s="50" customFormat="1" x14ac:dyDescent="0.25">
      <c r="B71" s="56" t="s">
        <v>62</v>
      </c>
      <c r="C71" s="53">
        <f>D71+C68-C69+C70</f>
        <v>0</v>
      </c>
      <c r="D71" s="64">
        <v>0</v>
      </c>
      <c r="F71" s="62"/>
      <c r="I71" s="51"/>
      <c r="M71" s="51"/>
    </row>
    <row r="72" spans="2:13" s="50" customFormat="1" ht="16.5" thickBot="1" x14ac:dyDescent="0.3">
      <c r="B72" s="52" t="s">
        <v>57</v>
      </c>
      <c r="C72" s="67">
        <f>C61+C66+C71</f>
        <v>385.07965522904965</v>
      </c>
      <c r="D72" s="68">
        <f>D61+D66+D71</f>
        <v>158.1696552290496</v>
      </c>
      <c r="I72" s="51"/>
      <c r="M72" s="51"/>
    </row>
    <row r="73" spans="2:13" s="50" customFormat="1" ht="17.25" thickTop="1" thickBot="1" x14ac:dyDescent="0.3">
      <c r="B73" s="74"/>
      <c r="C73" s="75"/>
      <c r="D73" s="76"/>
      <c r="I73" s="51"/>
      <c r="M73" s="51"/>
    </row>
    <row r="74" spans="2:13" s="50" customFormat="1" x14ac:dyDescent="0.25">
      <c r="C74" s="60"/>
      <c r="I74" s="51"/>
      <c r="M74" s="51"/>
    </row>
  </sheetData>
  <mergeCells count="4">
    <mergeCell ref="B1:D1"/>
    <mergeCell ref="B2:D2"/>
    <mergeCell ref="I5:J5"/>
    <mergeCell ref="N14:N15"/>
  </mergeCells>
  <pageMargins left="0.7" right="0.7" top="0.75" bottom="0.75" header="0.3" footer="0.3"/>
  <pageSetup scale="85" orientation="portrait" r:id="rId1"/>
  <rowBreaks count="1" manualBreakCount="1"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Financial Instr &amp; Deposits</vt:lpstr>
      <vt:lpstr>Loans</vt:lpstr>
      <vt:lpstr>'Financial Instr &amp; Deposits'!Print_Area</vt:lpstr>
      <vt:lpstr>Loans!Print_Area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2021-02-19T05:23:43Z</dcterms:modified>
</cp:coreProperties>
</file>